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 MUNICIPAL\Desktop\ADMON 2020-2024\TRIMESTRALES\"/>
    </mc:Choice>
  </mc:AlternateContent>
  <bookViews>
    <workbookView xWindow="0" yWindow="0" windowWidth="28800" windowHeight="13725" firstSheet="4" activeTab="10"/>
  </bookViews>
  <sheets>
    <sheet name="FR-01 ENERO" sheetId="1" r:id="rId1"/>
    <sheet name="FR-01 FEBRERO" sheetId="14" r:id="rId2"/>
    <sheet name="FR-01 MARZO" sheetId="16" r:id="rId3"/>
    <sheet name="FR-01 ABRIL" sheetId="17" r:id="rId4"/>
    <sheet name="FR-01 MAYO" sheetId="18" r:id="rId5"/>
    <sheet name="FR-01 JUNIO" sheetId="19" r:id="rId6"/>
    <sheet name="FR-01 JULIO" sheetId="20" r:id="rId7"/>
    <sheet name="FR-01 AGOSTO" sheetId="21" r:id="rId8"/>
    <sheet name="FR-01 SEPTIEMBRE" sheetId="22" r:id="rId9"/>
    <sheet name="FR-01 OCTUBRE" sheetId="23" r:id="rId10"/>
    <sheet name="FR-01 NOVIEMBRE" sheetId="24" r:id="rId11"/>
    <sheet name="FR-01 DICIEMBRE" sheetId="25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11">'FR-01 DICIEMBRE'!$A$1:$L$148</definedName>
    <definedName name="_xlnm.Print_Area" localSheetId="10">'FR-01 NOVIEMBRE'!$A$1:$L$147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25" l="1"/>
  <c r="G72" i="25"/>
  <c r="G71" i="25"/>
  <c r="G70" i="25"/>
  <c r="G69" i="25"/>
  <c r="G68" i="25"/>
  <c r="K15" i="25"/>
  <c r="K34" i="25"/>
  <c r="E33" i="25" l="1"/>
  <c r="E32" i="25"/>
  <c r="E26" i="25"/>
  <c r="E22" i="25"/>
  <c r="E31" i="25"/>
  <c r="E30" i="25"/>
  <c r="E29" i="25"/>
  <c r="E28" i="25"/>
  <c r="E27" i="25"/>
  <c r="E25" i="25"/>
  <c r="E24" i="25"/>
  <c r="E23" i="25"/>
  <c r="E15" i="25"/>
  <c r="E14" i="25" l="1"/>
  <c r="E21" i="25"/>
  <c r="E62" i="25" s="1"/>
  <c r="C33" i="25" l="1"/>
  <c r="C26" i="25"/>
  <c r="C24" i="25"/>
  <c r="D33" i="25"/>
  <c r="D24" i="25"/>
  <c r="D40" i="25"/>
  <c r="D23" i="25"/>
  <c r="D32" i="25"/>
  <c r="D31" i="25"/>
  <c r="D30" i="25"/>
  <c r="D29" i="25"/>
  <c r="D28" i="25"/>
  <c r="D27" i="25"/>
  <c r="D26" i="25"/>
  <c r="D25" i="25"/>
  <c r="D22" i="25"/>
  <c r="D18" i="25"/>
  <c r="I21" i="25"/>
  <c r="H21" i="25"/>
  <c r="N21" i="25" s="1"/>
  <c r="G34" i="25"/>
  <c r="F34" i="25"/>
  <c r="L21" i="25"/>
  <c r="C34" i="25"/>
  <c r="C32" i="25"/>
  <c r="C31" i="25"/>
  <c r="C30" i="25"/>
  <c r="C29" i="25"/>
  <c r="C28" i="25"/>
  <c r="C27" i="25"/>
  <c r="C25" i="25"/>
  <c r="C23" i="25"/>
  <c r="C22" i="25"/>
  <c r="C18" i="25"/>
  <c r="G18" i="25" s="1"/>
  <c r="C17" i="25"/>
  <c r="G17" i="25" s="1"/>
  <c r="C16" i="25"/>
  <c r="G16" i="25" s="1"/>
  <c r="C15" i="25"/>
  <c r="G15" i="25" s="1"/>
  <c r="C21" i="25" l="1"/>
  <c r="G21" i="25"/>
  <c r="D21" i="25"/>
  <c r="D74" i="25" l="1"/>
  <c r="I73" i="25"/>
  <c r="I72" i="25"/>
  <c r="I71" i="25"/>
  <c r="I70" i="25"/>
  <c r="I69" i="25"/>
  <c r="K61" i="25"/>
  <c r="G61" i="25"/>
  <c r="K60" i="25"/>
  <c r="G60" i="25"/>
  <c r="K59" i="25"/>
  <c r="K58" i="25" s="1"/>
  <c r="G59" i="25"/>
  <c r="J58" i="25"/>
  <c r="I58" i="25"/>
  <c r="H58" i="25"/>
  <c r="G58" i="25"/>
  <c r="E58" i="25"/>
  <c r="D58" i="25"/>
  <c r="C58" i="25"/>
  <c r="B58" i="25"/>
  <c r="K57" i="25"/>
  <c r="G57" i="25"/>
  <c r="K56" i="25"/>
  <c r="K55" i="25" s="1"/>
  <c r="G56" i="25"/>
  <c r="J55" i="25"/>
  <c r="I55" i="25"/>
  <c r="H55" i="25"/>
  <c r="E55" i="25"/>
  <c r="D55" i="25"/>
  <c r="C55" i="25"/>
  <c r="G55" i="25" s="1"/>
  <c r="B55" i="25"/>
  <c r="K54" i="25"/>
  <c r="G54" i="25"/>
  <c r="K53" i="25"/>
  <c r="G53" i="25"/>
  <c r="K52" i="25"/>
  <c r="G52" i="25"/>
  <c r="K51" i="25"/>
  <c r="G51" i="25"/>
  <c r="K50" i="25"/>
  <c r="K49" i="25" s="1"/>
  <c r="G50" i="25"/>
  <c r="J49" i="25"/>
  <c r="I49" i="25"/>
  <c r="H49" i="25"/>
  <c r="G49" i="25"/>
  <c r="E49" i="25"/>
  <c r="D49" i="25"/>
  <c r="C49" i="25"/>
  <c r="B49" i="25"/>
  <c r="K48" i="25"/>
  <c r="G48" i="25"/>
  <c r="K47" i="25"/>
  <c r="G47" i="25"/>
  <c r="D47" i="25"/>
  <c r="K46" i="25"/>
  <c r="G46" i="25"/>
  <c r="D46" i="25"/>
  <c r="K45" i="25"/>
  <c r="G45" i="25"/>
  <c r="D45" i="25"/>
  <c r="K44" i="25"/>
  <c r="G44" i="25"/>
  <c r="D44" i="25"/>
  <c r="K43" i="25"/>
  <c r="G43" i="25"/>
  <c r="D43" i="25"/>
  <c r="K42" i="25"/>
  <c r="G42" i="25"/>
  <c r="D42" i="25"/>
  <c r="K41" i="25"/>
  <c r="G41" i="25"/>
  <c r="D41" i="25"/>
  <c r="K40" i="25"/>
  <c r="G40" i="25"/>
  <c r="D35" i="25"/>
  <c r="K39" i="25"/>
  <c r="G39" i="25"/>
  <c r="D39" i="25"/>
  <c r="K38" i="25"/>
  <c r="G38" i="25"/>
  <c r="D38" i="25"/>
  <c r="K37" i="25"/>
  <c r="G37" i="25"/>
  <c r="D37" i="25"/>
  <c r="K36" i="25"/>
  <c r="G36" i="25"/>
  <c r="K35" i="25"/>
  <c r="J35" i="25"/>
  <c r="I35" i="25"/>
  <c r="H35" i="25"/>
  <c r="G35" i="25"/>
  <c r="E35" i="25"/>
  <c r="C35" i="25"/>
  <c r="B35" i="25"/>
  <c r="K33" i="25"/>
  <c r="F33" i="25"/>
  <c r="G33" i="25"/>
  <c r="K32" i="25"/>
  <c r="F32" i="25"/>
  <c r="G32" i="25"/>
  <c r="K31" i="25"/>
  <c r="G31" i="25"/>
  <c r="K30" i="25"/>
  <c r="G30" i="25"/>
  <c r="K29" i="25"/>
  <c r="G29" i="25"/>
  <c r="K28" i="25"/>
  <c r="F28" i="25"/>
  <c r="L28" i="25"/>
  <c r="G28" i="25"/>
  <c r="K27" i="25"/>
  <c r="F27" i="25"/>
  <c r="L27" i="25"/>
  <c r="G27" i="25"/>
  <c r="K26" i="25"/>
  <c r="F26" i="25"/>
  <c r="K25" i="25"/>
  <c r="F25" i="25"/>
  <c r="G25" i="25"/>
  <c r="L24" i="25"/>
  <c r="K23" i="25"/>
  <c r="G23" i="25"/>
  <c r="J21" i="25"/>
  <c r="L22" i="25"/>
  <c r="B21" i="25"/>
  <c r="K20" i="25"/>
  <c r="G20" i="25"/>
  <c r="K19" i="25"/>
  <c r="G19" i="25"/>
  <c r="L18" i="25"/>
  <c r="K18" i="25"/>
  <c r="L17" i="25"/>
  <c r="K17" i="25"/>
  <c r="F17" i="25"/>
  <c r="L16" i="25"/>
  <c r="K16" i="25"/>
  <c r="F16" i="25"/>
  <c r="B16" i="25"/>
  <c r="J14" i="25"/>
  <c r="F15" i="25"/>
  <c r="B15" i="25"/>
  <c r="B14" i="25" s="1"/>
  <c r="B62" i="25" s="1"/>
  <c r="I14" i="25"/>
  <c r="I62" i="25" s="1"/>
  <c r="D14" i="25"/>
  <c r="N22" i="25" l="1"/>
  <c r="D62" i="25"/>
  <c r="L30" i="25"/>
  <c r="L14" i="25"/>
  <c r="L29" i="25"/>
  <c r="F30" i="25"/>
  <c r="F23" i="25"/>
  <c r="L23" i="25"/>
  <c r="F24" i="25"/>
  <c r="G26" i="25"/>
  <c r="F29" i="25"/>
  <c r="G74" i="25"/>
  <c r="I74" i="25" s="1"/>
  <c r="L26" i="25"/>
  <c r="G24" i="25"/>
  <c r="K24" i="25"/>
  <c r="J62" i="25"/>
  <c r="J64" i="25" s="1"/>
  <c r="L15" i="25"/>
  <c r="L25" i="25"/>
  <c r="F22" i="25"/>
  <c r="K22" i="25"/>
  <c r="I68" i="25"/>
  <c r="C14" i="25"/>
  <c r="G14" i="25" s="1"/>
  <c r="F18" i="25"/>
  <c r="G22" i="25"/>
  <c r="H14" i="25"/>
  <c r="G72" i="24"/>
  <c r="G71" i="24"/>
  <c r="G70" i="24"/>
  <c r="G68" i="24"/>
  <c r="G67" i="24"/>
  <c r="J15" i="24"/>
  <c r="J25" i="24"/>
  <c r="J24" i="24"/>
  <c r="J23" i="24"/>
  <c r="J22" i="24"/>
  <c r="K21" i="25" l="1"/>
  <c r="C62" i="25"/>
  <c r="F21" i="25"/>
  <c r="H62" i="25"/>
  <c r="I63" i="25" s="1"/>
  <c r="K14" i="25"/>
  <c r="F14" i="25"/>
  <c r="N21" i="24"/>
  <c r="H32" i="24"/>
  <c r="H30" i="24"/>
  <c r="H29" i="24"/>
  <c r="H28" i="24"/>
  <c r="H27" i="24"/>
  <c r="H26" i="24"/>
  <c r="H25" i="24"/>
  <c r="H24" i="24"/>
  <c r="H23" i="24"/>
  <c r="H22" i="24"/>
  <c r="H15" i="24"/>
  <c r="M66" i="25" l="1"/>
  <c r="N66" i="25" s="1"/>
  <c r="O66" i="25" s="1"/>
  <c r="C65" i="25"/>
  <c r="K62" i="25"/>
  <c r="G63" i="25"/>
  <c r="L62" i="25"/>
  <c r="F62" i="25"/>
  <c r="M67" i="25"/>
  <c r="M72" i="25"/>
  <c r="G62" i="25"/>
  <c r="E25" i="24"/>
  <c r="E21" i="24" s="1"/>
  <c r="E14" i="24"/>
  <c r="E62" i="24"/>
  <c r="E33" i="24"/>
  <c r="E32" i="24"/>
  <c r="E31" i="24"/>
  <c r="E30" i="24"/>
  <c r="E29" i="24"/>
  <c r="E28" i="24"/>
  <c r="E27" i="24"/>
  <c r="E26" i="24"/>
  <c r="E24" i="24"/>
  <c r="E23" i="24"/>
  <c r="E22" i="24"/>
  <c r="E15" i="24"/>
  <c r="E61" i="24" l="1"/>
  <c r="M71" i="24" s="1"/>
  <c r="C33" i="24" l="1"/>
  <c r="C28" i="24"/>
  <c r="D33" i="24"/>
  <c r="D32" i="24"/>
  <c r="D31" i="24"/>
  <c r="D30" i="24"/>
  <c r="D29" i="24"/>
  <c r="D28" i="24"/>
  <c r="D27" i="24"/>
  <c r="D26" i="24"/>
  <c r="D25" i="24"/>
  <c r="D24" i="24"/>
  <c r="D23" i="24"/>
  <c r="D22" i="24"/>
  <c r="D18" i="24"/>
  <c r="C32" i="24"/>
  <c r="C31" i="24"/>
  <c r="C30" i="24"/>
  <c r="C29" i="24"/>
  <c r="C27" i="24"/>
  <c r="C26" i="24"/>
  <c r="C25" i="24"/>
  <c r="C24" i="24"/>
  <c r="C23" i="24"/>
  <c r="C22" i="24"/>
  <c r="C18" i="24"/>
  <c r="C17" i="24"/>
  <c r="C16" i="24"/>
  <c r="C15" i="24"/>
  <c r="D73" i="24" l="1"/>
  <c r="I72" i="24"/>
  <c r="I71" i="24"/>
  <c r="I70" i="24"/>
  <c r="G69" i="24"/>
  <c r="I69" i="24" s="1"/>
  <c r="I68" i="24"/>
  <c r="K60" i="24"/>
  <c r="K57" i="24" s="1"/>
  <c r="G60" i="24"/>
  <c r="K59" i="24"/>
  <c r="G59" i="24"/>
  <c r="K58" i="24"/>
  <c r="G58" i="24"/>
  <c r="J57" i="24"/>
  <c r="I57" i="24"/>
  <c r="H57" i="24"/>
  <c r="E57" i="24"/>
  <c r="D57" i="24"/>
  <c r="C57" i="24"/>
  <c r="G57" i="24" s="1"/>
  <c r="B57" i="24"/>
  <c r="K56" i="24"/>
  <c r="G56" i="24"/>
  <c r="K55" i="24"/>
  <c r="K54" i="24" s="1"/>
  <c r="G55" i="24"/>
  <c r="J54" i="24"/>
  <c r="I54" i="24"/>
  <c r="H54" i="24"/>
  <c r="E54" i="24"/>
  <c r="D54" i="24"/>
  <c r="C54" i="24"/>
  <c r="G54" i="24" s="1"/>
  <c r="B54" i="24"/>
  <c r="K53" i="24"/>
  <c r="G53" i="24"/>
  <c r="K52" i="24"/>
  <c r="G52" i="24"/>
  <c r="K51" i="24"/>
  <c r="G51" i="24"/>
  <c r="K50" i="24"/>
  <c r="G50" i="24"/>
  <c r="K49" i="24"/>
  <c r="G49" i="24"/>
  <c r="K48" i="24"/>
  <c r="J48" i="24"/>
  <c r="I48" i="24"/>
  <c r="H48" i="24"/>
  <c r="E48" i="24"/>
  <c r="D48" i="24"/>
  <c r="C48" i="24"/>
  <c r="G48" i="24" s="1"/>
  <c r="B48" i="24"/>
  <c r="K47" i="24"/>
  <c r="G47" i="24"/>
  <c r="K46" i="24"/>
  <c r="G46" i="24"/>
  <c r="D46" i="24"/>
  <c r="K45" i="24"/>
  <c r="G45" i="24"/>
  <c r="D45" i="24"/>
  <c r="K44" i="24"/>
  <c r="G44" i="24"/>
  <c r="D44" i="24"/>
  <c r="K43" i="24"/>
  <c r="G43" i="24"/>
  <c r="D43" i="24"/>
  <c r="K42" i="24"/>
  <c r="G42" i="24"/>
  <c r="D42" i="24"/>
  <c r="K41" i="24"/>
  <c r="G41" i="24"/>
  <c r="D41" i="24"/>
  <c r="K40" i="24"/>
  <c r="G40" i="24"/>
  <c r="D40" i="24"/>
  <c r="K39" i="24"/>
  <c r="G39" i="24"/>
  <c r="D39" i="24"/>
  <c r="K38" i="24"/>
  <c r="G38" i="24"/>
  <c r="D38" i="24"/>
  <c r="K37" i="24"/>
  <c r="G37" i="24"/>
  <c r="D37" i="24"/>
  <c r="K36" i="24"/>
  <c r="G36" i="24"/>
  <c r="D36" i="24"/>
  <c r="D34" i="24" s="1"/>
  <c r="K35" i="24"/>
  <c r="G35" i="24"/>
  <c r="J34" i="24"/>
  <c r="I34" i="24"/>
  <c r="H34" i="24"/>
  <c r="E34" i="24"/>
  <c r="C34" i="24"/>
  <c r="G34" i="24" s="1"/>
  <c r="B34" i="24"/>
  <c r="K33" i="24"/>
  <c r="G33" i="24"/>
  <c r="F33" i="24"/>
  <c r="K32" i="24"/>
  <c r="F32" i="24"/>
  <c r="H31" i="24"/>
  <c r="K31" i="24" s="1"/>
  <c r="G31" i="24"/>
  <c r="K30" i="24"/>
  <c r="L30" i="24"/>
  <c r="L29" i="24"/>
  <c r="K29" i="24"/>
  <c r="F29" i="24"/>
  <c r="K28" i="24"/>
  <c r="L28" i="24"/>
  <c r="L27" i="24"/>
  <c r="K27" i="24"/>
  <c r="G27" i="24"/>
  <c r="F27" i="24"/>
  <c r="L26" i="24"/>
  <c r="K26" i="24"/>
  <c r="F26" i="24"/>
  <c r="G26" i="24"/>
  <c r="L25" i="24"/>
  <c r="K25" i="24"/>
  <c r="G25" i="24"/>
  <c r="L24" i="24"/>
  <c r="K24" i="24"/>
  <c r="G24" i="24"/>
  <c r="L23" i="24"/>
  <c r="K23" i="24"/>
  <c r="G23" i="24"/>
  <c r="M22" i="24"/>
  <c r="L22" i="24"/>
  <c r="K22" i="24"/>
  <c r="F22" i="24"/>
  <c r="G22" i="24"/>
  <c r="J21" i="24"/>
  <c r="N23" i="24" s="1"/>
  <c r="I21" i="24"/>
  <c r="H21" i="24"/>
  <c r="D21" i="24"/>
  <c r="B21" i="24"/>
  <c r="K20" i="24"/>
  <c r="G20" i="24"/>
  <c r="K19" i="24"/>
  <c r="G19" i="24"/>
  <c r="L18" i="24"/>
  <c r="K18" i="24"/>
  <c r="G18" i="24"/>
  <c r="L17" i="24"/>
  <c r="K17" i="24"/>
  <c r="F17" i="24"/>
  <c r="G17" i="24"/>
  <c r="K16" i="24"/>
  <c r="G16" i="24"/>
  <c r="F16" i="24"/>
  <c r="B16" i="24"/>
  <c r="L16" i="24" s="1"/>
  <c r="L15" i="24"/>
  <c r="K15" i="24"/>
  <c r="F15" i="24"/>
  <c r="G15" i="24"/>
  <c r="B15" i="24"/>
  <c r="J14" i="24"/>
  <c r="K14" i="24" s="1"/>
  <c r="I14" i="24"/>
  <c r="I61" i="24" s="1"/>
  <c r="H14" i="24"/>
  <c r="D14" i="24"/>
  <c r="D61" i="24" s="1"/>
  <c r="C14" i="24"/>
  <c r="B14" i="24"/>
  <c r="B61" i="24" s="1"/>
  <c r="N22" i="24" l="1"/>
  <c r="J61" i="24"/>
  <c r="J63" i="24" s="1"/>
  <c r="G73" i="24"/>
  <c r="I73" i="24" s="1"/>
  <c r="K34" i="24"/>
  <c r="K21" i="24"/>
  <c r="K61" i="24" s="1"/>
  <c r="F30" i="24"/>
  <c r="G32" i="24"/>
  <c r="F28" i="24"/>
  <c r="G14" i="24"/>
  <c r="G28" i="24"/>
  <c r="G29" i="24"/>
  <c r="H61" i="24"/>
  <c r="I62" i="24" s="1"/>
  <c r="L14" i="24"/>
  <c r="F25" i="24"/>
  <c r="F18" i="24"/>
  <c r="F23" i="24"/>
  <c r="F24" i="24"/>
  <c r="I67" i="24"/>
  <c r="G30" i="24"/>
  <c r="F14" i="24"/>
  <c r="C21" i="24"/>
  <c r="C61" i="24" s="1"/>
  <c r="M65" i="24" s="1"/>
  <c r="N65" i="24" s="1"/>
  <c r="D41" i="23"/>
  <c r="C22" i="23"/>
  <c r="O65" i="24" l="1"/>
  <c r="F21" i="24"/>
  <c r="L21" i="24"/>
  <c r="M66" i="24"/>
  <c r="G21" i="24"/>
  <c r="G61" i="24" s="1"/>
  <c r="C61" i="22"/>
  <c r="F61" i="24" l="1"/>
  <c r="L61" i="24"/>
  <c r="G62" i="24"/>
  <c r="G72" i="23"/>
  <c r="G71" i="23"/>
  <c r="G70" i="23"/>
  <c r="G69" i="23"/>
  <c r="G68" i="23"/>
  <c r="G67" i="23"/>
  <c r="E61" i="21" l="1"/>
  <c r="E61" i="20"/>
  <c r="E61" i="19"/>
  <c r="E61" i="18"/>
  <c r="E61" i="17"/>
  <c r="E61" i="16"/>
  <c r="E61" i="14"/>
  <c r="E15" i="14"/>
  <c r="M69" i="23"/>
  <c r="J21" i="23"/>
  <c r="N23" i="23" s="1"/>
  <c r="K22" i="23"/>
  <c r="M22" i="23"/>
  <c r="I21" i="23"/>
  <c r="H22" i="23"/>
  <c r="K15" i="23" l="1"/>
  <c r="H15" i="23"/>
  <c r="H14" i="23"/>
  <c r="H21" i="23"/>
  <c r="H24" i="23"/>
  <c r="H32" i="23"/>
  <c r="H30" i="23"/>
  <c r="H29" i="23"/>
  <c r="H28" i="23"/>
  <c r="H27" i="23"/>
  <c r="H26" i="23"/>
  <c r="H25" i="23"/>
  <c r="H23" i="23"/>
  <c r="H34" i="23"/>
  <c r="N21" i="23" l="1"/>
  <c r="E32" i="23"/>
  <c r="E31" i="23"/>
  <c r="E30" i="23"/>
  <c r="E29" i="23"/>
  <c r="E28" i="23"/>
  <c r="E23" i="23"/>
  <c r="E15" i="21"/>
  <c r="E15" i="20"/>
  <c r="E15" i="19"/>
  <c r="E15" i="18"/>
  <c r="E15" i="17"/>
  <c r="E15" i="16"/>
  <c r="E15" i="1"/>
  <c r="D46" i="23" l="1"/>
  <c r="D45" i="23"/>
  <c r="D44" i="23"/>
  <c r="D43" i="23"/>
  <c r="D42" i="23"/>
  <c r="D40" i="23"/>
  <c r="D39" i="23"/>
  <c r="D38" i="23"/>
  <c r="D37" i="23"/>
  <c r="D36" i="23"/>
  <c r="D32" i="23"/>
  <c r="D31" i="23"/>
  <c r="D30" i="23"/>
  <c r="D29" i="23"/>
  <c r="D28" i="23"/>
  <c r="D27" i="23"/>
  <c r="D26" i="23"/>
  <c r="D25" i="23"/>
  <c r="D24" i="23"/>
  <c r="D23" i="23"/>
  <c r="D22" i="23"/>
  <c r="C62" i="23"/>
  <c r="E21" i="23"/>
  <c r="K31" i="23"/>
  <c r="K32" i="23"/>
  <c r="K33" i="23"/>
  <c r="K30" i="23"/>
  <c r="K29" i="23"/>
  <c r="K28" i="23"/>
  <c r="K27" i="23"/>
  <c r="K26" i="23"/>
  <c r="K23" i="23"/>
  <c r="C33" i="23"/>
  <c r="F33" i="23" s="1"/>
  <c r="C32" i="23"/>
  <c r="C31" i="23"/>
  <c r="C30" i="23"/>
  <c r="C29" i="23"/>
  <c r="C28" i="23"/>
  <c r="D61" i="22"/>
  <c r="C15" i="22"/>
  <c r="C16" i="22"/>
  <c r="C17" i="22"/>
  <c r="C18" i="22"/>
  <c r="D18" i="22"/>
  <c r="C22" i="22"/>
  <c r="C23" i="22"/>
  <c r="C24" i="22"/>
  <c r="C25" i="22"/>
  <c r="C26" i="22"/>
  <c r="C27" i="22"/>
  <c r="D73" i="23"/>
  <c r="I72" i="23"/>
  <c r="I71" i="23"/>
  <c r="I70" i="23"/>
  <c r="I69" i="23"/>
  <c r="I68" i="23"/>
  <c r="D62" i="23"/>
  <c r="K60" i="23"/>
  <c r="G60" i="23"/>
  <c r="K59" i="23"/>
  <c r="G59" i="23"/>
  <c r="K58" i="23"/>
  <c r="G58" i="23"/>
  <c r="K57" i="23"/>
  <c r="J57" i="23"/>
  <c r="I57" i="23"/>
  <c r="H57" i="23"/>
  <c r="E57" i="23"/>
  <c r="D57" i="23"/>
  <c r="C57" i="23"/>
  <c r="G57" i="23" s="1"/>
  <c r="B57" i="23"/>
  <c r="K56" i="23"/>
  <c r="G56" i="23"/>
  <c r="K55" i="23"/>
  <c r="G55" i="23"/>
  <c r="K54" i="23"/>
  <c r="J54" i="23"/>
  <c r="I54" i="23"/>
  <c r="H54" i="23"/>
  <c r="G54" i="23"/>
  <c r="E54" i="23"/>
  <c r="D54" i="23"/>
  <c r="C54" i="23"/>
  <c r="B54" i="23"/>
  <c r="K53" i="23"/>
  <c r="G53" i="23"/>
  <c r="K52" i="23"/>
  <c r="G52" i="23"/>
  <c r="K51" i="23"/>
  <c r="G51" i="23"/>
  <c r="K50" i="23"/>
  <c r="G50" i="23"/>
  <c r="K49" i="23"/>
  <c r="K48" i="23" s="1"/>
  <c r="G49" i="23"/>
  <c r="J48" i="23"/>
  <c r="I48" i="23"/>
  <c r="H48" i="23"/>
  <c r="E48" i="23"/>
  <c r="D48" i="23"/>
  <c r="C48" i="23"/>
  <c r="G48" i="23" s="1"/>
  <c r="B48" i="23"/>
  <c r="K47" i="23"/>
  <c r="G47" i="23"/>
  <c r="K46" i="23"/>
  <c r="G46" i="23"/>
  <c r="K45" i="23"/>
  <c r="G45" i="23"/>
  <c r="K44" i="23"/>
  <c r="G44" i="23"/>
  <c r="K43" i="23"/>
  <c r="G43" i="23"/>
  <c r="K42" i="23"/>
  <c r="G42" i="23"/>
  <c r="K41" i="23"/>
  <c r="G41" i="23"/>
  <c r="K40" i="23"/>
  <c r="G40" i="23"/>
  <c r="K39" i="23"/>
  <c r="G39" i="23"/>
  <c r="K38" i="23"/>
  <c r="G38" i="23"/>
  <c r="K37" i="23"/>
  <c r="G37" i="23"/>
  <c r="K36" i="23"/>
  <c r="G36" i="23"/>
  <c r="K35" i="23"/>
  <c r="G35" i="23"/>
  <c r="J34" i="23"/>
  <c r="I34" i="23"/>
  <c r="E34" i="23"/>
  <c r="C34" i="23"/>
  <c r="G34" i="23" s="1"/>
  <c r="B34" i="23"/>
  <c r="G32" i="23"/>
  <c r="H31" i="23"/>
  <c r="L30" i="23"/>
  <c r="L29" i="23"/>
  <c r="G29" i="23"/>
  <c r="L28" i="23"/>
  <c r="L27" i="23"/>
  <c r="C27" i="23"/>
  <c r="L26" i="23"/>
  <c r="C26" i="23"/>
  <c r="K25" i="23"/>
  <c r="L25" i="23"/>
  <c r="C25" i="23"/>
  <c r="F25" i="23" s="1"/>
  <c r="L24" i="23"/>
  <c r="K24" i="23"/>
  <c r="C24" i="23"/>
  <c r="G24" i="23" s="1"/>
  <c r="L23" i="23"/>
  <c r="C23" i="23"/>
  <c r="L22" i="23"/>
  <c r="G22" i="23"/>
  <c r="B21" i="23"/>
  <c r="K20" i="23"/>
  <c r="G20" i="23"/>
  <c r="K19" i="23"/>
  <c r="G19" i="23"/>
  <c r="L18" i="23"/>
  <c r="K18" i="23"/>
  <c r="D18" i="23"/>
  <c r="D14" i="23" s="1"/>
  <c r="C18" i="23"/>
  <c r="F18" i="23" s="1"/>
  <c r="L17" i="23"/>
  <c r="K17" i="23"/>
  <c r="C17" i="23"/>
  <c r="F17" i="23" s="1"/>
  <c r="K16" i="23"/>
  <c r="C16" i="23"/>
  <c r="G16" i="23" s="1"/>
  <c r="B16" i="23"/>
  <c r="L16" i="23" s="1"/>
  <c r="J14" i="23"/>
  <c r="E14" i="23"/>
  <c r="C15" i="23"/>
  <c r="B15" i="23"/>
  <c r="I14" i="23"/>
  <c r="I61" i="23" s="1"/>
  <c r="B14" i="23"/>
  <c r="G33" i="23" l="1"/>
  <c r="C21" i="23"/>
  <c r="G21" i="23" s="1"/>
  <c r="G73" i="23"/>
  <c r="I73" i="23" s="1"/>
  <c r="K34" i="23"/>
  <c r="K21" i="23"/>
  <c r="F21" i="23"/>
  <c r="D21" i="23"/>
  <c r="F16" i="23"/>
  <c r="G17" i="23"/>
  <c r="D34" i="23"/>
  <c r="I67" i="23"/>
  <c r="G30" i="23"/>
  <c r="L14" i="23"/>
  <c r="L15" i="23"/>
  <c r="G18" i="23"/>
  <c r="L21" i="23"/>
  <c r="G26" i="23"/>
  <c r="G31" i="23"/>
  <c r="G15" i="23"/>
  <c r="F22" i="23"/>
  <c r="F24" i="23"/>
  <c r="G25" i="23"/>
  <c r="G27" i="23"/>
  <c r="G28" i="23"/>
  <c r="F32" i="23"/>
  <c r="H61" i="23"/>
  <c r="I62" i="23" s="1"/>
  <c r="K14" i="23"/>
  <c r="G23" i="23"/>
  <c r="B61" i="23"/>
  <c r="C14" i="23"/>
  <c r="C61" i="23" s="1"/>
  <c r="F26" i="23"/>
  <c r="F27" i="23"/>
  <c r="F28" i="23"/>
  <c r="F29" i="23"/>
  <c r="F30" i="23"/>
  <c r="F15" i="23"/>
  <c r="F23" i="23"/>
  <c r="P69" i="23" l="1"/>
  <c r="J61" i="23"/>
  <c r="N22" i="23"/>
  <c r="K61" i="23"/>
  <c r="E61" i="23"/>
  <c r="M66" i="23" s="1"/>
  <c r="D61" i="23"/>
  <c r="F14" i="23"/>
  <c r="G14" i="23"/>
  <c r="G61" i="23" s="1"/>
  <c r="G62" i="23" l="1"/>
  <c r="N69" i="23" s="1"/>
  <c r="O69" i="23" s="1"/>
  <c r="L61" i="23"/>
  <c r="F61" i="23"/>
  <c r="M65" i="23"/>
  <c r="N65" i="23" s="1"/>
  <c r="O65" i="23" s="1"/>
  <c r="J61" i="22" l="1"/>
  <c r="K57" i="22" l="1"/>
  <c r="J15" i="22"/>
  <c r="K15" i="22" s="1"/>
  <c r="H22" i="22" l="1"/>
  <c r="M68" i="22"/>
  <c r="K56" i="22" l="1"/>
  <c r="H60" i="19"/>
  <c r="H33" i="19"/>
  <c r="H21" i="19"/>
  <c r="K32" i="22"/>
  <c r="G71" i="22" l="1"/>
  <c r="G70" i="22"/>
  <c r="G69" i="22"/>
  <c r="G68" i="22"/>
  <c r="G67" i="22"/>
  <c r="G66" i="22"/>
  <c r="M22" i="22" l="1"/>
  <c r="J25" i="22"/>
  <c r="J24" i="22"/>
  <c r="J22" i="22"/>
  <c r="H28" i="22" l="1"/>
  <c r="H15" i="22"/>
  <c r="H32" i="22"/>
  <c r="H31" i="22"/>
  <c r="H30" i="22"/>
  <c r="H29" i="22"/>
  <c r="H27" i="22"/>
  <c r="H26" i="22"/>
  <c r="H25" i="22"/>
  <c r="H24" i="22"/>
  <c r="H23" i="22"/>
  <c r="E24" i="21"/>
  <c r="E24" i="20"/>
  <c r="E24" i="19"/>
  <c r="E24" i="18"/>
  <c r="E24" i="17"/>
  <c r="E24" i="16"/>
  <c r="E24" i="14"/>
  <c r="N21" i="18"/>
  <c r="E32" i="22" l="1"/>
  <c r="E31" i="22"/>
  <c r="E30" i="22"/>
  <c r="E29" i="22"/>
  <c r="E28" i="22"/>
  <c r="E27" i="22"/>
  <c r="E26" i="22"/>
  <c r="E23" i="22"/>
  <c r="E14" i="22"/>
  <c r="E21" i="22" l="1"/>
  <c r="E60" i="22" s="1"/>
  <c r="M65" i="22" s="1"/>
  <c r="D35" i="22"/>
  <c r="D45" i="22"/>
  <c r="D44" i="22"/>
  <c r="D43" i="22"/>
  <c r="D42" i="22"/>
  <c r="D41" i="22"/>
  <c r="D40" i="22"/>
  <c r="D39" i="22"/>
  <c r="D37" i="22"/>
  <c r="D36" i="22"/>
  <c r="D32" i="22"/>
  <c r="D31" i="22"/>
  <c r="D30" i="22"/>
  <c r="D29" i="22"/>
  <c r="D28" i="22"/>
  <c r="D27" i="22"/>
  <c r="D26" i="22"/>
  <c r="D25" i="22"/>
  <c r="D24" i="22"/>
  <c r="D23" i="22"/>
  <c r="D22" i="22"/>
  <c r="D14" i="22"/>
  <c r="C32" i="22"/>
  <c r="G32" i="22" s="1"/>
  <c r="C31" i="22"/>
  <c r="G31" i="22" s="1"/>
  <c r="C30" i="22"/>
  <c r="F30" i="22" s="1"/>
  <c r="C29" i="22"/>
  <c r="F29" i="22" s="1"/>
  <c r="C28" i="22"/>
  <c r="G26" i="22"/>
  <c r="F22" i="22"/>
  <c r="G18" i="22"/>
  <c r="G17" i="22"/>
  <c r="G16" i="22"/>
  <c r="D72" i="22"/>
  <c r="I71" i="22"/>
  <c r="I70" i="22"/>
  <c r="I69" i="22"/>
  <c r="I68" i="22"/>
  <c r="I67" i="22"/>
  <c r="K59" i="22"/>
  <c r="G59" i="22"/>
  <c r="K58" i="22"/>
  <c r="G58" i="22"/>
  <c r="G57" i="22"/>
  <c r="J56" i="22"/>
  <c r="I56" i="22"/>
  <c r="H56" i="22"/>
  <c r="E56" i="22"/>
  <c r="D56" i="22"/>
  <c r="C56" i="22"/>
  <c r="G56" i="22" s="1"/>
  <c r="B56" i="22"/>
  <c r="K55" i="22"/>
  <c r="G55" i="22"/>
  <c r="K54" i="22"/>
  <c r="K53" i="22" s="1"/>
  <c r="G54" i="22"/>
  <c r="J53" i="22"/>
  <c r="I53" i="22"/>
  <c r="H53" i="22"/>
  <c r="E53" i="22"/>
  <c r="D53" i="22"/>
  <c r="C53" i="22"/>
  <c r="G53" i="22" s="1"/>
  <c r="B53" i="22"/>
  <c r="K52" i="22"/>
  <c r="G52" i="22"/>
  <c r="K51" i="22"/>
  <c r="G51" i="22"/>
  <c r="K50" i="22"/>
  <c r="G50" i="22"/>
  <c r="K49" i="22"/>
  <c r="G49" i="22"/>
  <c r="K48" i="22"/>
  <c r="G48" i="22"/>
  <c r="K47" i="22"/>
  <c r="J47" i="22"/>
  <c r="I47" i="22"/>
  <c r="H47" i="22"/>
  <c r="E47" i="22"/>
  <c r="D47" i="22"/>
  <c r="C47" i="22"/>
  <c r="G47" i="22" s="1"/>
  <c r="B47" i="22"/>
  <c r="K46" i="22"/>
  <c r="G46" i="22"/>
  <c r="K45" i="22"/>
  <c r="G45" i="22"/>
  <c r="K44" i="22"/>
  <c r="G44" i="22"/>
  <c r="K43" i="22"/>
  <c r="G43" i="22"/>
  <c r="K42" i="22"/>
  <c r="G42" i="22"/>
  <c r="K41" i="22"/>
  <c r="G41" i="22"/>
  <c r="K40" i="22"/>
  <c r="G40" i="22"/>
  <c r="K39" i="22"/>
  <c r="G39" i="22"/>
  <c r="K38" i="22"/>
  <c r="G38" i="22"/>
  <c r="D38" i="22"/>
  <c r="K37" i="22"/>
  <c r="G37" i="22"/>
  <c r="K36" i="22"/>
  <c r="G36" i="22"/>
  <c r="K35" i="22"/>
  <c r="G35" i="22"/>
  <c r="K34" i="22"/>
  <c r="G34" i="22"/>
  <c r="J33" i="22"/>
  <c r="I33" i="22"/>
  <c r="H33" i="22"/>
  <c r="E33" i="22"/>
  <c r="C33" i="22"/>
  <c r="G33" i="22" s="1"/>
  <c r="B33" i="22"/>
  <c r="K31" i="22"/>
  <c r="K30" i="22"/>
  <c r="K29" i="22"/>
  <c r="K28" i="22"/>
  <c r="L28" i="22"/>
  <c r="K27" i="22"/>
  <c r="L27" i="22"/>
  <c r="K26" i="22"/>
  <c r="L26" i="22"/>
  <c r="K25" i="22"/>
  <c r="L25" i="22"/>
  <c r="K24" i="22"/>
  <c r="L24" i="22"/>
  <c r="K23" i="22"/>
  <c r="L23" i="22"/>
  <c r="G23" i="22"/>
  <c r="K22" i="22"/>
  <c r="I21" i="22"/>
  <c r="H21" i="22"/>
  <c r="N21" i="22" s="1"/>
  <c r="B21" i="22"/>
  <c r="K20" i="22"/>
  <c r="G20" i="22"/>
  <c r="K19" i="22"/>
  <c r="G19" i="22"/>
  <c r="L18" i="22"/>
  <c r="K18" i="22"/>
  <c r="L17" i="22"/>
  <c r="K17" i="22"/>
  <c r="K16" i="22"/>
  <c r="F16" i="22"/>
  <c r="B16" i="22"/>
  <c r="L16" i="22" s="1"/>
  <c r="B15" i="22"/>
  <c r="I14" i="22"/>
  <c r="H14" i="22"/>
  <c r="C15" i="21"/>
  <c r="C16" i="21"/>
  <c r="C18" i="21"/>
  <c r="C17" i="21"/>
  <c r="I60" i="22" l="1"/>
  <c r="F28" i="22"/>
  <c r="C21" i="22"/>
  <c r="D33" i="22"/>
  <c r="F17" i="22"/>
  <c r="C14" i="22"/>
  <c r="G14" i="22" s="1"/>
  <c r="G15" i="22"/>
  <c r="G22" i="22"/>
  <c r="G72" i="22"/>
  <c r="I72" i="22" s="1"/>
  <c r="J14" i="22"/>
  <c r="J21" i="22"/>
  <c r="N22" i="22" s="1"/>
  <c r="K33" i="22"/>
  <c r="K21" i="22"/>
  <c r="G27" i="22"/>
  <c r="G30" i="22"/>
  <c r="F27" i="22"/>
  <c r="F15" i="22"/>
  <c r="L22" i="22"/>
  <c r="L21" i="22"/>
  <c r="L15" i="22"/>
  <c r="G24" i="22"/>
  <c r="G25" i="22"/>
  <c r="G29" i="22"/>
  <c r="D21" i="22"/>
  <c r="F32" i="22"/>
  <c r="L14" i="22"/>
  <c r="G28" i="22"/>
  <c r="L30" i="22"/>
  <c r="F18" i="22"/>
  <c r="F24" i="22"/>
  <c r="F25" i="22"/>
  <c r="F26" i="22"/>
  <c r="L29" i="22"/>
  <c r="H60" i="22"/>
  <c r="I61" i="22" s="1"/>
  <c r="B14" i="22"/>
  <c r="B60" i="22" s="1"/>
  <c r="F23" i="22"/>
  <c r="I66" i="22"/>
  <c r="P68" i="22" l="1"/>
  <c r="O31" i="22"/>
  <c r="P31" i="22" s="1"/>
  <c r="D60" i="22"/>
  <c r="F14" i="22"/>
  <c r="J60" i="22"/>
  <c r="K14" i="22"/>
  <c r="K60" i="22" s="1"/>
  <c r="G21" i="22"/>
  <c r="G60" i="22" s="1"/>
  <c r="F21" i="22"/>
  <c r="C60" i="22"/>
  <c r="M64" i="22" s="1"/>
  <c r="N64" i="22" s="1"/>
  <c r="O64" i="22" s="1"/>
  <c r="G61" i="22" l="1"/>
  <c r="N68" i="22" s="1"/>
  <c r="O68" i="22" s="1"/>
  <c r="L60" i="22"/>
  <c r="F60" i="22"/>
  <c r="C61" i="21" l="1"/>
  <c r="D61" i="21"/>
  <c r="J61" i="21"/>
  <c r="N21" i="21"/>
  <c r="M22" i="21"/>
  <c r="G71" i="21" l="1"/>
  <c r="G70" i="21"/>
  <c r="G69" i="21"/>
  <c r="G68" i="21"/>
  <c r="G67" i="21"/>
  <c r="G66" i="21"/>
  <c r="J25" i="21" l="1"/>
  <c r="J24" i="21"/>
  <c r="J22" i="21"/>
  <c r="J15" i="21"/>
  <c r="H33" i="21"/>
  <c r="H21" i="21"/>
  <c r="H56" i="21"/>
  <c r="H14" i="21"/>
  <c r="H53" i="21"/>
  <c r="H47" i="21"/>
  <c r="E30" i="21" l="1"/>
  <c r="E32" i="21"/>
  <c r="E31" i="21"/>
  <c r="E28" i="21"/>
  <c r="E27" i="21"/>
  <c r="E26" i="21"/>
  <c r="E25" i="21"/>
  <c r="E23" i="21"/>
  <c r="E22" i="21"/>
  <c r="C27" i="21"/>
  <c r="D45" i="21"/>
  <c r="D44" i="21"/>
  <c r="D43" i="21"/>
  <c r="D42" i="21"/>
  <c r="D41" i="21"/>
  <c r="D40" i="21"/>
  <c r="D39" i="21"/>
  <c r="D38" i="21"/>
  <c r="D37" i="21"/>
  <c r="D36" i="21"/>
  <c r="D35" i="21"/>
  <c r="D32" i="21"/>
  <c r="D31" i="21"/>
  <c r="D30" i="21"/>
  <c r="D29" i="21"/>
  <c r="D28" i="21"/>
  <c r="D27" i="21"/>
  <c r="D26" i="21"/>
  <c r="D25" i="21"/>
  <c r="D24" i="21"/>
  <c r="D23" i="21"/>
  <c r="D22" i="21"/>
  <c r="D18" i="21"/>
  <c r="C32" i="21"/>
  <c r="C31" i="21"/>
  <c r="C30" i="21"/>
  <c r="C29" i="21"/>
  <c r="C28" i="21"/>
  <c r="C26" i="21"/>
  <c r="C25" i="21"/>
  <c r="C24" i="21"/>
  <c r="C23" i="21"/>
  <c r="C22" i="21"/>
  <c r="D72" i="21" l="1"/>
  <c r="I71" i="21"/>
  <c r="I70" i="21"/>
  <c r="I69" i="21"/>
  <c r="I68" i="21"/>
  <c r="I66" i="21"/>
  <c r="K59" i="21"/>
  <c r="G59" i="21"/>
  <c r="K58" i="21"/>
  <c r="G58" i="21"/>
  <c r="K57" i="21"/>
  <c r="K56" i="21" s="1"/>
  <c r="G57" i="21"/>
  <c r="J56" i="21"/>
  <c r="I56" i="21"/>
  <c r="E56" i="21"/>
  <c r="D56" i="21"/>
  <c r="C56" i="21"/>
  <c r="B56" i="21"/>
  <c r="K55" i="21"/>
  <c r="G55" i="21"/>
  <c r="K54" i="21"/>
  <c r="G54" i="21"/>
  <c r="J53" i="21"/>
  <c r="I53" i="21"/>
  <c r="E53" i="21"/>
  <c r="D53" i="21"/>
  <c r="C53" i="21"/>
  <c r="G53" i="21" s="1"/>
  <c r="B53" i="21"/>
  <c r="K52" i="21"/>
  <c r="G52" i="21"/>
  <c r="K51" i="21"/>
  <c r="G51" i="21"/>
  <c r="K50" i="21"/>
  <c r="G50" i="21"/>
  <c r="K49" i="21"/>
  <c r="G49" i="21"/>
  <c r="K48" i="21"/>
  <c r="G48" i="21"/>
  <c r="K47" i="21"/>
  <c r="J47" i="21"/>
  <c r="I47" i="21"/>
  <c r="E47" i="21"/>
  <c r="D47" i="21"/>
  <c r="C47" i="21"/>
  <c r="G47" i="21" s="1"/>
  <c r="B47" i="21"/>
  <c r="K46" i="21"/>
  <c r="G46" i="21"/>
  <c r="K45" i="21"/>
  <c r="G45" i="21"/>
  <c r="K44" i="21"/>
  <c r="G44" i="21"/>
  <c r="K43" i="21"/>
  <c r="G43" i="21"/>
  <c r="K42" i="21"/>
  <c r="G42" i="21"/>
  <c r="K41" i="21"/>
  <c r="G41" i="21"/>
  <c r="K40" i="21"/>
  <c r="G40" i="21"/>
  <c r="K39" i="21"/>
  <c r="G39" i="21"/>
  <c r="K38" i="21"/>
  <c r="G38" i="21"/>
  <c r="K37" i="21"/>
  <c r="G37" i="21"/>
  <c r="K36" i="21"/>
  <c r="G36" i="21"/>
  <c r="K35" i="21"/>
  <c r="G35" i="21"/>
  <c r="D33" i="21"/>
  <c r="K34" i="21"/>
  <c r="G34" i="21"/>
  <c r="J33" i="21"/>
  <c r="I33" i="21"/>
  <c r="H60" i="21"/>
  <c r="E33" i="21"/>
  <c r="C33" i="21"/>
  <c r="B33" i="21"/>
  <c r="J32" i="21"/>
  <c r="K32" i="21" s="1"/>
  <c r="F32" i="21"/>
  <c r="K31" i="21"/>
  <c r="G31" i="21"/>
  <c r="K30" i="21"/>
  <c r="F30" i="21"/>
  <c r="K29" i="21"/>
  <c r="E29" i="21"/>
  <c r="L29" i="21" s="1"/>
  <c r="K28" i="21"/>
  <c r="L28" i="21"/>
  <c r="K27" i="21"/>
  <c r="F27" i="21"/>
  <c r="L27" i="21"/>
  <c r="G27" i="21"/>
  <c r="K26" i="21"/>
  <c r="G26" i="21"/>
  <c r="K25" i="21"/>
  <c r="L25" i="21"/>
  <c r="G25" i="21"/>
  <c r="K24" i="21"/>
  <c r="L24" i="21"/>
  <c r="K23" i="21"/>
  <c r="L23" i="21"/>
  <c r="L22" i="21"/>
  <c r="G22" i="21"/>
  <c r="I21" i="21"/>
  <c r="B21" i="21"/>
  <c r="K20" i="21"/>
  <c r="G20" i="21"/>
  <c r="K19" i="21"/>
  <c r="G19" i="21"/>
  <c r="L18" i="21"/>
  <c r="K18" i="21"/>
  <c r="D14" i="21"/>
  <c r="G18" i="21"/>
  <c r="L17" i="21"/>
  <c r="K17" i="21"/>
  <c r="G17" i="21"/>
  <c r="K16" i="21"/>
  <c r="G16" i="21"/>
  <c r="B16" i="21"/>
  <c r="L16" i="21" s="1"/>
  <c r="K15" i="21"/>
  <c r="G15" i="21"/>
  <c r="B15" i="21"/>
  <c r="J14" i="21"/>
  <c r="I14" i="21"/>
  <c r="I60" i="21" s="1"/>
  <c r="G71" i="20"/>
  <c r="G70" i="20"/>
  <c r="G69" i="20"/>
  <c r="G68" i="20"/>
  <c r="G67" i="20"/>
  <c r="G66" i="20"/>
  <c r="G33" i="21" l="1"/>
  <c r="K53" i="21"/>
  <c r="G56" i="21"/>
  <c r="E21" i="21"/>
  <c r="L21" i="21" s="1"/>
  <c r="J21" i="21"/>
  <c r="N22" i="21" s="1"/>
  <c r="G72" i="21"/>
  <c r="I72" i="21" s="1"/>
  <c r="K33" i="21"/>
  <c r="K22" i="21"/>
  <c r="K21" i="21" s="1"/>
  <c r="I67" i="21"/>
  <c r="K14" i="21"/>
  <c r="F15" i="21"/>
  <c r="E14" i="21"/>
  <c r="F28" i="21"/>
  <c r="G29" i="21"/>
  <c r="G30" i="21"/>
  <c r="L15" i="21"/>
  <c r="G23" i="21"/>
  <c r="G24" i="21"/>
  <c r="G32" i="21"/>
  <c r="F16" i="21"/>
  <c r="F17" i="21"/>
  <c r="F22" i="21"/>
  <c r="D21" i="21"/>
  <c r="D60" i="21" s="1"/>
  <c r="F26" i="21"/>
  <c r="J60" i="21"/>
  <c r="L26" i="21"/>
  <c r="G28" i="21"/>
  <c r="L30" i="21"/>
  <c r="B14" i="21"/>
  <c r="B60" i="21" s="1"/>
  <c r="F18" i="21"/>
  <c r="F24" i="21"/>
  <c r="F25" i="21"/>
  <c r="C14" i="21"/>
  <c r="C21" i="21"/>
  <c r="F23" i="21"/>
  <c r="F29" i="21"/>
  <c r="E60" i="21" l="1"/>
  <c r="M65" i="21" s="1"/>
  <c r="G14" i="21"/>
  <c r="G21" i="21"/>
  <c r="K60" i="21"/>
  <c r="C60" i="21"/>
  <c r="F21" i="21"/>
  <c r="L14" i="21"/>
  <c r="F14" i="21"/>
  <c r="L60" i="21" l="1"/>
  <c r="G60" i="21"/>
  <c r="F60" i="21"/>
  <c r="G61" i="21"/>
  <c r="M64" i="21"/>
  <c r="N64" i="21" s="1"/>
  <c r="M22" i="20"/>
  <c r="J61" i="20"/>
  <c r="J32" i="20"/>
  <c r="J25" i="20"/>
  <c r="J24" i="20"/>
  <c r="J22" i="20"/>
  <c r="J15" i="20"/>
  <c r="C15" i="20"/>
  <c r="N21" i="20" l="1"/>
  <c r="E26" i="20"/>
  <c r="E32" i="20"/>
  <c r="E31" i="20"/>
  <c r="E30" i="20"/>
  <c r="E29" i="20"/>
  <c r="E28" i="20"/>
  <c r="E27" i="20"/>
  <c r="E25" i="20"/>
  <c r="E23" i="20"/>
  <c r="E22" i="20"/>
  <c r="D41" i="20"/>
  <c r="D61" i="20"/>
  <c r="D45" i="20"/>
  <c r="D44" i="20"/>
  <c r="D43" i="20"/>
  <c r="D42" i="20"/>
  <c r="D40" i="20"/>
  <c r="D38" i="20"/>
  <c r="D37" i="20"/>
  <c r="D36" i="20"/>
  <c r="D35" i="20"/>
  <c r="D32" i="20"/>
  <c r="D31" i="20"/>
  <c r="D30" i="20"/>
  <c r="D29" i="20"/>
  <c r="D28" i="20"/>
  <c r="D27" i="20"/>
  <c r="D26" i="20"/>
  <c r="D25" i="20"/>
  <c r="D24" i="20"/>
  <c r="D23" i="20"/>
  <c r="D22" i="20"/>
  <c r="D18" i="20"/>
  <c r="C61" i="20"/>
  <c r="C32" i="20"/>
  <c r="C31" i="20"/>
  <c r="C30" i="20"/>
  <c r="C29" i="20"/>
  <c r="C28" i="20"/>
  <c r="C27" i="20"/>
  <c r="C26" i="20"/>
  <c r="C25" i="20"/>
  <c r="C24" i="20"/>
  <c r="C23" i="20"/>
  <c r="C22" i="20"/>
  <c r="C18" i="20"/>
  <c r="C17" i="20"/>
  <c r="C16" i="20"/>
  <c r="D72" i="20" l="1"/>
  <c r="I71" i="20"/>
  <c r="I70" i="20"/>
  <c r="I69" i="20"/>
  <c r="I68" i="20"/>
  <c r="I67" i="20"/>
  <c r="K59" i="20"/>
  <c r="G59" i="20"/>
  <c r="K58" i="20"/>
  <c r="K56" i="20" s="1"/>
  <c r="G58" i="20"/>
  <c r="K57" i="20"/>
  <c r="G57" i="20"/>
  <c r="J56" i="20"/>
  <c r="I56" i="20"/>
  <c r="H56" i="20"/>
  <c r="G56" i="20"/>
  <c r="E56" i="20"/>
  <c r="D56" i="20"/>
  <c r="C56" i="20"/>
  <c r="B56" i="20"/>
  <c r="K55" i="20"/>
  <c r="G55" i="20"/>
  <c r="K54" i="20"/>
  <c r="K53" i="20" s="1"/>
  <c r="G54" i="20"/>
  <c r="J53" i="20"/>
  <c r="I53" i="20"/>
  <c r="H53" i="20"/>
  <c r="E53" i="20"/>
  <c r="D53" i="20"/>
  <c r="C53" i="20"/>
  <c r="G53" i="20" s="1"/>
  <c r="B53" i="20"/>
  <c r="K52" i="20"/>
  <c r="G52" i="20"/>
  <c r="K51" i="20"/>
  <c r="G51" i="20"/>
  <c r="K50" i="20"/>
  <c r="G50" i="20"/>
  <c r="K49" i="20"/>
  <c r="G49" i="20"/>
  <c r="K48" i="20"/>
  <c r="G48" i="20"/>
  <c r="K47" i="20"/>
  <c r="J47" i="20"/>
  <c r="I47" i="20"/>
  <c r="H47" i="20"/>
  <c r="G47" i="20"/>
  <c r="E47" i="20"/>
  <c r="D47" i="20"/>
  <c r="C47" i="20"/>
  <c r="B47" i="20"/>
  <c r="K46" i="20"/>
  <c r="G46" i="20"/>
  <c r="K45" i="20"/>
  <c r="G45" i="20"/>
  <c r="K44" i="20"/>
  <c r="G44" i="20"/>
  <c r="K43" i="20"/>
  <c r="G43" i="20"/>
  <c r="K42" i="20"/>
  <c r="G42" i="20"/>
  <c r="K41" i="20"/>
  <c r="G41" i="20"/>
  <c r="K40" i="20"/>
  <c r="G40" i="20"/>
  <c r="K39" i="20"/>
  <c r="G39" i="20"/>
  <c r="D39" i="20"/>
  <c r="K38" i="20"/>
  <c r="G38" i="20"/>
  <c r="K37" i="20"/>
  <c r="G37" i="20"/>
  <c r="K36" i="20"/>
  <c r="G36" i="20"/>
  <c r="K35" i="20"/>
  <c r="G35" i="20"/>
  <c r="K34" i="20"/>
  <c r="K33" i="20" s="1"/>
  <c r="G34" i="20"/>
  <c r="J33" i="20"/>
  <c r="I33" i="20"/>
  <c r="H33" i="20"/>
  <c r="E33" i="20"/>
  <c r="C33" i="20"/>
  <c r="G33" i="20" s="1"/>
  <c r="B33" i="20"/>
  <c r="K32" i="20"/>
  <c r="F32" i="20"/>
  <c r="K31" i="20"/>
  <c r="G31" i="20"/>
  <c r="K30" i="20"/>
  <c r="K29" i="20"/>
  <c r="L29" i="20"/>
  <c r="K28" i="20"/>
  <c r="F28" i="20"/>
  <c r="K27" i="20"/>
  <c r="L27" i="20"/>
  <c r="K26" i="20"/>
  <c r="F26" i="20"/>
  <c r="K25" i="20"/>
  <c r="L25" i="20"/>
  <c r="K24" i="20"/>
  <c r="L24" i="20"/>
  <c r="K23" i="20"/>
  <c r="F23" i="20"/>
  <c r="L23" i="20"/>
  <c r="G23" i="20"/>
  <c r="L22" i="20"/>
  <c r="G22" i="20"/>
  <c r="I21" i="20"/>
  <c r="H21" i="20"/>
  <c r="B21" i="20"/>
  <c r="K20" i="20"/>
  <c r="G20" i="20"/>
  <c r="K19" i="20"/>
  <c r="G19" i="20"/>
  <c r="L18" i="20"/>
  <c r="K18" i="20"/>
  <c r="D14" i="20"/>
  <c r="F18" i="20"/>
  <c r="L17" i="20"/>
  <c r="K17" i="20"/>
  <c r="G17" i="20"/>
  <c r="K16" i="20"/>
  <c r="G16" i="20"/>
  <c r="B16" i="20"/>
  <c r="L16" i="20" s="1"/>
  <c r="K15" i="20"/>
  <c r="G15" i="20"/>
  <c r="B15" i="20"/>
  <c r="B14" i="20" s="1"/>
  <c r="B60" i="20" s="1"/>
  <c r="I14" i="20"/>
  <c r="I60" i="20" s="1"/>
  <c r="H14" i="20"/>
  <c r="J61" i="19"/>
  <c r="G66" i="19"/>
  <c r="G66" i="18"/>
  <c r="G66" i="17"/>
  <c r="G66" i="16"/>
  <c r="G66" i="14"/>
  <c r="G66" i="1"/>
  <c r="G70" i="19"/>
  <c r="G71" i="19"/>
  <c r="G69" i="19"/>
  <c r="G69" i="18"/>
  <c r="G68" i="19"/>
  <c r="G67" i="19"/>
  <c r="G68" i="18"/>
  <c r="M22" i="19"/>
  <c r="J25" i="19"/>
  <c r="J24" i="19"/>
  <c r="J22" i="19"/>
  <c r="J15" i="19"/>
  <c r="J14" i="20" l="1"/>
  <c r="K14" i="20" s="1"/>
  <c r="J21" i="20"/>
  <c r="N22" i="20" s="1"/>
  <c r="H60" i="20"/>
  <c r="G72" i="20"/>
  <c r="I72" i="20" s="1"/>
  <c r="I66" i="20"/>
  <c r="F29" i="20"/>
  <c r="G24" i="20"/>
  <c r="G25" i="20"/>
  <c r="G26" i="20"/>
  <c r="G27" i="20"/>
  <c r="G28" i="20"/>
  <c r="G29" i="20"/>
  <c r="G30" i="20"/>
  <c r="G32" i="20"/>
  <c r="F16" i="20"/>
  <c r="G18" i="20"/>
  <c r="C21" i="20"/>
  <c r="D21" i="20"/>
  <c r="F30" i="20"/>
  <c r="C14" i="20"/>
  <c r="D33" i="20"/>
  <c r="L28" i="20"/>
  <c r="L15" i="20"/>
  <c r="K22" i="20"/>
  <c r="K21" i="20" s="1"/>
  <c r="F15" i="20"/>
  <c r="F17" i="20"/>
  <c r="E14" i="20"/>
  <c r="E21" i="20"/>
  <c r="F22" i="20"/>
  <c r="L26" i="20"/>
  <c r="F27" i="20"/>
  <c r="L30" i="20"/>
  <c r="F24" i="20"/>
  <c r="F25" i="20"/>
  <c r="K60" i="20" l="1"/>
  <c r="J60" i="20"/>
  <c r="D60" i="20"/>
  <c r="C60" i="20"/>
  <c r="M64" i="20" s="1"/>
  <c r="N64" i="20" s="1"/>
  <c r="F21" i="20"/>
  <c r="L21" i="20"/>
  <c r="F14" i="20"/>
  <c r="E60" i="20"/>
  <c r="M65" i="20" s="1"/>
  <c r="L14" i="20"/>
  <c r="G21" i="20"/>
  <c r="G14" i="20"/>
  <c r="G60" i="20" l="1"/>
  <c r="F60" i="20"/>
  <c r="L60" i="20"/>
  <c r="G61" i="20"/>
  <c r="N21" i="19" l="1"/>
  <c r="E32" i="19"/>
  <c r="E31" i="19"/>
  <c r="E30" i="19"/>
  <c r="E29" i="19"/>
  <c r="E28" i="19"/>
  <c r="E27" i="19"/>
  <c r="E26" i="19"/>
  <c r="E25" i="19"/>
  <c r="E23" i="19"/>
  <c r="E22" i="19"/>
  <c r="D36" i="19" l="1"/>
  <c r="D61" i="19"/>
  <c r="D45" i="19" l="1"/>
  <c r="D44" i="19" l="1"/>
  <c r="D43" i="19"/>
  <c r="D42" i="19"/>
  <c r="D41" i="19"/>
  <c r="D40" i="19"/>
  <c r="D39" i="19"/>
  <c r="D38" i="19"/>
  <c r="D37" i="19"/>
  <c r="D35" i="19"/>
  <c r="D32" i="19"/>
  <c r="D31" i="19"/>
  <c r="D30" i="19"/>
  <c r="D29" i="19"/>
  <c r="D28" i="19"/>
  <c r="D27" i="19"/>
  <c r="D26" i="19"/>
  <c r="D25" i="19"/>
  <c r="D24" i="19"/>
  <c r="D23" i="19"/>
  <c r="D22" i="19"/>
  <c r="D18" i="19"/>
  <c r="C61" i="19"/>
  <c r="C32" i="19"/>
  <c r="C31" i="19"/>
  <c r="C30" i="19"/>
  <c r="C29" i="19"/>
  <c r="C28" i="19"/>
  <c r="C27" i="19"/>
  <c r="C26" i="19"/>
  <c r="C25" i="19"/>
  <c r="C24" i="19"/>
  <c r="C23" i="19"/>
  <c r="C22" i="19"/>
  <c r="C18" i="19"/>
  <c r="C17" i="19"/>
  <c r="C16" i="19"/>
  <c r="C15" i="19"/>
  <c r="D21" i="19" l="1"/>
  <c r="D33" i="19"/>
  <c r="D72" i="19"/>
  <c r="I71" i="19"/>
  <c r="I70" i="19"/>
  <c r="I69" i="19"/>
  <c r="I68" i="19"/>
  <c r="I67" i="19"/>
  <c r="K59" i="19"/>
  <c r="G59" i="19"/>
  <c r="K58" i="19"/>
  <c r="G58" i="19"/>
  <c r="K57" i="19"/>
  <c r="G57" i="19"/>
  <c r="K56" i="19"/>
  <c r="J56" i="19"/>
  <c r="I56" i="19"/>
  <c r="H56" i="19"/>
  <c r="G56" i="19"/>
  <c r="E56" i="19"/>
  <c r="D56" i="19"/>
  <c r="C56" i="19"/>
  <c r="B56" i="19"/>
  <c r="K55" i="19"/>
  <c r="G55" i="19"/>
  <c r="K54" i="19"/>
  <c r="K53" i="19" s="1"/>
  <c r="G54" i="19"/>
  <c r="J53" i="19"/>
  <c r="I53" i="19"/>
  <c r="H53" i="19"/>
  <c r="E53" i="19"/>
  <c r="D53" i="19"/>
  <c r="C53" i="19"/>
  <c r="G53" i="19" s="1"/>
  <c r="B53" i="19"/>
  <c r="K52" i="19"/>
  <c r="G52" i="19"/>
  <c r="K51" i="19"/>
  <c r="G51" i="19"/>
  <c r="K50" i="19"/>
  <c r="G50" i="19"/>
  <c r="K49" i="19"/>
  <c r="K47" i="19" s="1"/>
  <c r="G49" i="19"/>
  <c r="K48" i="19"/>
  <c r="G48" i="19"/>
  <c r="J47" i="19"/>
  <c r="I47" i="19"/>
  <c r="H47" i="19"/>
  <c r="G47" i="19"/>
  <c r="E47" i="19"/>
  <c r="D47" i="19"/>
  <c r="C47" i="19"/>
  <c r="B47" i="19"/>
  <c r="K46" i="19"/>
  <c r="G46" i="19"/>
  <c r="K45" i="19"/>
  <c r="G45" i="19"/>
  <c r="K44" i="19"/>
  <c r="G44" i="19"/>
  <c r="K43" i="19"/>
  <c r="G43" i="19"/>
  <c r="K42" i="19"/>
  <c r="G42" i="19"/>
  <c r="K41" i="19"/>
  <c r="G41" i="19"/>
  <c r="K40" i="19"/>
  <c r="G40" i="19"/>
  <c r="K39" i="19"/>
  <c r="G39" i="19"/>
  <c r="K38" i="19"/>
  <c r="G38" i="19"/>
  <c r="K37" i="19"/>
  <c r="G37" i="19"/>
  <c r="K36" i="19"/>
  <c r="G36" i="19"/>
  <c r="K35" i="19"/>
  <c r="G35" i="19"/>
  <c r="K34" i="19"/>
  <c r="G34" i="19"/>
  <c r="J33" i="19"/>
  <c r="I33" i="19"/>
  <c r="E33" i="19"/>
  <c r="C33" i="19"/>
  <c r="G33" i="19" s="1"/>
  <c r="B33" i="19"/>
  <c r="K32" i="19"/>
  <c r="G32" i="19"/>
  <c r="K31" i="19"/>
  <c r="G31" i="19"/>
  <c r="K30" i="19"/>
  <c r="F30" i="19"/>
  <c r="K29" i="19"/>
  <c r="L29" i="19"/>
  <c r="K28" i="19"/>
  <c r="G28" i="19"/>
  <c r="K27" i="19"/>
  <c r="L27" i="19"/>
  <c r="K26" i="19"/>
  <c r="G26" i="19"/>
  <c r="K25" i="19"/>
  <c r="L25" i="19"/>
  <c r="G25" i="19"/>
  <c r="K24" i="19"/>
  <c r="L24" i="19"/>
  <c r="K23" i="19"/>
  <c r="L23" i="19"/>
  <c r="J21" i="19"/>
  <c r="N22" i="19" s="1"/>
  <c r="G22" i="19"/>
  <c r="I21" i="19"/>
  <c r="B21" i="19"/>
  <c r="K20" i="19"/>
  <c r="G20" i="19"/>
  <c r="K19" i="19"/>
  <c r="G19" i="19"/>
  <c r="L18" i="19"/>
  <c r="K18" i="19"/>
  <c r="D14" i="19"/>
  <c r="F18" i="19"/>
  <c r="L17" i="19"/>
  <c r="K17" i="19"/>
  <c r="G17" i="19"/>
  <c r="K16" i="19"/>
  <c r="G16" i="19"/>
  <c r="B16" i="19"/>
  <c r="L16" i="19" s="1"/>
  <c r="J14" i="19"/>
  <c r="E14" i="19"/>
  <c r="B15" i="19"/>
  <c r="I14" i="19"/>
  <c r="I60" i="19" s="1"/>
  <c r="H14" i="19"/>
  <c r="B14" i="19"/>
  <c r="B60" i="19" s="1"/>
  <c r="G71" i="18"/>
  <c r="G70" i="18"/>
  <c r="G67" i="18"/>
  <c r="J61" i="18"/>
  <c r="M22" i="18"/>
  <c r="J25" i="18"/>
  <c r="J24" i="18"/>
  <c r="J22" i="18"/>
  <c r="J15" i="18"/>
  <c r="K15" i="19" l="1"/>
  <c r="K33" i="19"/>
  <c r="G23" i="19"/>
  <c r="G30" i="19"/>
  <c r="G29" i="19"/>
  <c r="G15" i="19"/>
  <c r="G24" i="19"/>
  <c r="F29" i="19"/>
  <c r="J60" i="19"/>
  <c r="K14" i="19"/>
  <c r="L22" i="19"/>
  <c r="F23" i="19"/>
  <c r="G27" i="19"/>
  <c r="E21" i="19"/>
  <c r="L21" i="19" s="1"/>
  <c r="G72" i="19"/>
  <c r="I72" i="19" s="1"/>
  <c r="F22" i="19"/>
  <c r="G18" i="19"/>
  <c r="C21" i="19"/>
  <c r="F26" i="19"/>
  <c r="F32" i="19"/>
  <c r="C14" i="19"/>
  <c r="G14" i="19" s="1"/>
  <c r="F16" i="19"/>
  <c r="D60" i="19"/>
  <c r="F27" i="19"/>
  <c r="L14" i="19"/>
  <c r="F15" i="19"/>
  <c r="L15" i="19"/>
  <c r="F17" i="19"/>
  <c r="K22" i="19"/>
  <c r="K21" i="19" s="1"/>
  <c r="F28" i="19"/>
  <c r="L28" i="19"/>
  <c r="L26" i="19"/>
  <c r="L30" i="19"/>
  <c r="I66" i="19"/>
  <c r="F24" i="19"/>
  <c r="F25" i="19"/>
  <c r="F14" i="19" l="1"/>
  <c r="E60" i="19"/>
  <c r="L60" i="19" s="1"/>
  <c r="F21" i="19"/>
  <c r="K60" i="19"/>
  <c r="G21" i="19"/>
  <c r="G60" i="19" s="1"/>
  <c r="C60" i="19"/>
  <c r="G61" i="19" l="1"/>
  <c r="M64" i="19"/>
  <c r="N64" i="19" s="1"/>
  <c r="F60" i="19"/>
  <c r="E32" i="18"/>
  <c r="E31" i="18"/>
  <c r="E30" i="18"/>
  <c r="E29" i="18"/>
  <c r="E28" i="18"/>
  <c r="E27" i="18"/>
  <c r="E26" i="18"/>
  <c r="E25" i="18"/>
  <c r="E23" i="18"/>
  <c r="E22" i="18"/>
  <c r="D61" i="18" l="1"/>
  <c r="D45" i="18"/>
  <c r="D44" i="18"/>
  <c r="D43" i="18"/>
  <c r="D42" i="18"/>
  <c r="D41" i="18"/>
  <c r="D40" i="18"/>
  <c r="D39" i="18"/>
  <c r="D38" i="18"/>
  <c r="D37" i="18"/>
  <c r="D36" i="18"/>
  <c r="D35" i="18"/>
  <c r="D32" i="18"/>
  <c r="D31" i="18"/>
  <c r="D30" i="18"/>
  <c r="D29" i="18"/>
  <c r="D28" i="18"/>
  <c r="D27" i="18"/>
  <c r="D26" i="18"/>
  <c r="D25" i="18"/>
  <c r="D24" i="18"/>
  <c r="D23" i="18"/>
  <c r="D22" i="18"/>
  <c r="D18" i="18"/>
  <c r="C61" i="18"/>
  <c r="C32" i="18"/>
  <c r="C31" i="18"/>
  <c r="C30" i="18"/>
  <c r="C29" i="18"/>
  <c r="C28" i="18"/>
  <c r="C27" i="18"/>
  <c r="C26" i="18"/>
  <c r="C25" i="18"/>
  <c r="C24" i="18"/>
  <c r="C23" i="18"/>
  <c r="C22" i="18"/>
  <c r="C18" i="18"/>
  <c r="C17" i="18"/>
  <c r="C16" i="18"/>
  <c r="C15" i="18"/>
  <c r="D72" i="18" l="1"/>
  <c r="I71" i="18"/>
  <c r="I70" i="18"/>
  <c r="I69" i="18"/>
  <c r="I68" i="18"/>
  <c r="I67" i="18"/>
  <c r="K59" i="18"/>
  <c r="G59" i="18"/>
  <c r="K58" i="18"/>
  <c r="K56" i="18" s="1"/>
  <c r="G58" i="18"/>
  <c r="K57" i="18"/>
  <c r="G57" i="18"/>
  <c r="J56" i="18"/>
  <c r="I56" i="18"/>
  <c r="H56" i="18"/>
  <c r="G56" i="18"/>
  <c r="E56" i="18"/>
  <c r="D56" i="18"/>
  <c r="C56" i="18"/>
  <c r="B56" i="18"/>
  <c r="K55" i="18"/>
  <c r="G55" i="18"/>
  <c r="K54" i="18"/>
  <c r="K53" i="18" s="1"/>
  <c r="G54" i="18"/>
  <c r="J53" i="18"/>
  <c r="I53" i="18"/>
  <c r="H53" i="18"/>
  <c r="E53" i="18"/>
  <c r="D53" i="18"/>
  <c r="C53" i="18"/>
  <c r="G53" i="18" s="1"/>
  <c r="B53" i="18"/>
  <c r="K52" i="18"/>
  <c r="G52" i="18"/>
  <c r="K51" i="18"/>
  <c r="G51" i="18"/>
  <c r="K50" i="18"/>
  <c r="G50" i="18"/>
  <c r="K49" i="18"/>
  <c r="K47" i="18" s="1"/>
  <c r="G49" i="18"/>
  <c r="K48" i="18"/>
  <c r="G48" i="18"/>
  <c r="J47" i="18"/>
  <c r="I47" i="18"/>
  <c r="H47" i="18"/>
  <c r="G47" i="18"/>
  <c r="E47" i="18"/>
  <c r="D47" i="18"/>
  <c r="C47" i="18"/>
  <c r="B47" i="18"/>
  <c r="K46" i="18"/>
  <c r="G46" i="18"/>
  <c r="K45" i="18"/>
  <c r="G45" i="18"/>
  <c r="K44" i="18"/>
  <c r="G44" i="18"/>
  <c r="K43" i="18"/>
  <c r="G43" i="18"/>
  <c r="K42" i="18"/>
  <c r="G42" i="18"/>
  <c r="K41" i="18"/>
  <c r="G41" i="18"/>
  <c r="K40" i="18"/>
  <c r="G40" i="18"/>
  <c r="K39" i="18"/>
  <c r="G39" i="18"/>
  <c r="K38" i="18"/>
  <c r="G38" i="18"/>
  <c r="K37" i="18"/>
  <c r="G37" i="18"/>
  <c r="D33" i="18"/>
  <c r="K36" i="18"/>
  <c r="G36" i="18"/>
  <c r="K35" i="18"/>
  <c r="G35" i="18"/>
  <c r="K34" i="18"/>
  <c r="G34" i="18"/>
  <c r="J33" i="18"/>
  <c r="I33" i="18"/>
  <c r="H33" i="18"/>
  <c r="E33" i="18"/>
  <c r="C33" i="18"/>
  <c r="G33" i="18" s="1"/>
  <c r="B33" i="18"/>
  <c r="K32" i="18"/>
  <c r="G32" i="18"/>
  <c r="K31" i="18"/>
  <c r="G31" i="18"/>
  <c r="K30" i="18"/>
  <c r="F30" i="18"/>
  <c r="G30" i="18"/>
  <c r="K29" i="18"/>
  <c r="L29" i="18"/>
  <c r="K28" i="18"/>
  <c r="K27" i="18"/>
  <c r="L27" i="18"/>
  <c r="K26" i="18"/>
  <c r="G26" i="18"/>
  <c r="K25" i="18"/>
  <c r="L25" i="18"/>
  <c r="G25" i="18"/>
  <c r="K24" i="18"/>
  <c r="L24" i="18"/>
  <c r="G24" i="18"/>
  <c r="K23" i="18"/>
  <c r="L23" i="18"/>
  <c r="G23" i="18"/>
  <c r="L22" i="18"/>
  <c r="G22" i="18"/>
  <c r="I21" i="18"/>
  <c r="H21" i="18"/>
  <c r="B21" i="18"/>
  <c r="K20" i="18"/>
  <c r="G20" i="18"/>
  <c r="K19" i="18"/>
  <c r="G19" i="18"/>
  <c r="L18" i="18"/>
  <c r="K18" i="18"/>
  <c r="G18" i="18"/>
  <c r="D14" i="18"/>
  <c r="F18" i="18"/>
  <c r="L17" i="18"/>
  <c r="K17" i="18"/>
  <c r="G17" i="18"/>
  <c r="K16" i="18"/>
  <c r="G16" i="18"/>
  <c r="B16" i="18"/>
  <c r="L16" i="18" s="1"/>
  <c r="K15" i="18"/>
  <c r="E14" i="18"/>
  <c r="B15" i="18"/>
  <c r="B14" i="18" s="1"/>
  <c r="B60" i="18" s="1"/>
  <c r="J14" i="18"/>
  <c r="K14" i="18" s="1"/>
  <c r="I14" i="18"/>
  <c r="I60" i="18" s="1"/>
  <c r="H14" i="18"/>
  <c r="G71" i="17"/>
  <c r="G70" i="17"/>
  <c r="G69" i="17"/>
  <c r="G68" i="17"/>
  <c r="G67" i="17"/>
  <c r="J61" i="17"/>
  <c r="M22" i="17"/>
  <c r="J25" i="17"/>
  <c r="J24" i="17"/>
  <c r="J22" i="17"/>
  <c r="J15" i="17"/>
  <c r="J21" i="18" l="1"/>
  <c r="N22" i="18" s="1"/>
  <c r="G72" i="18"/>
  <c r="I72" i="18" s="1"/>
  <c r="K33" i="18"/>
  <c r="H60" i="18"/>
  <c r="F23" i="18"/>
  <c r="G29" i="18"/>
  <c r="E21" i="18"/>
  <c r="F27" i="18"/>
  <c r="G27" i="18"/>
  <c r="G28" i="18"/>
  <c r="C14" i="18"/>
  <c r="F14" i="18" s="1"/>
  <c r="F16" i="18"/>
  <c r="D21" i="18"/>
  <c r="D60" i="18" s="1"/>
  <c r="F29" i="18"/>
  <c r="C21" i="18"/>
  <c r="F32" i="18"/>
  <c r="F22" i="18"/>
  <c r="F26" i="18"/>
  <c r="L14" i="18"/>
  <c r="L28" i="18"/>
  <c r="F15" i="18"/>
  <c r="L15" i="18"/>
  <c r="F17" i="18"/>
  <c r="K22" i="18"/>
  <c r="K21" i="18" s="1"/>
  <c r="K60" i="18" s="1"/>
  <c r="F28" i="18"/>
  <c r="G15" i="18"/>
  <c r="L26" i="18"/>
  <c r="L30" i="18"/>
  <c r="I66" i="18"/>
  <c r="F24" i="18"/>
  <c r="F25" i="18"/>
  <c r="J60" i="18" l="1"/>
  <c r="G14" i="18"/>
  <c r="G21" i="18"/>
  <c r="E60" i="18"/>
  <c r="L60" i="18" s="1"/>
  <c r="L21" i="18"/>
  <c r="F21" i="18"/>
  <c r="C60" i="18"/>
  <c r="M64" i="18" s="1"/>
  <c r="N64" i="18" s="1"/>
  <c r="G60" i="18" l="1"/>
  <c r="F60" i="18"/>
  <c r="G61" i="18"/>
  <c r="N21" i="17"/>
  <c r="E32" i="17"/>
  <c r="E31" i="17"/>
  <c r="E30" i="17"/>
  <c r="E29" i="17"/>
  <c r="E28" i="17"/>
  <c r="E27" i="17"/>
  <c r="E26" i="17"/>
  <c r="E25" i="17"/>
  <c r="E23" i="17"/>
  <c r="E22" i="17"/>
  <c r="D61" i="17" l="1"/>
  <c r="D45" i="17"/>
  <c r="D44" i="17"/>
  <c r="D43" i="17"/>
  <c r="D42" i="17"/>
  <c r="D41" i="17"/>
  <c r="D40" i="17"/>
  <c r="D39" i="17"/>
  <c r="D38" i="17"/>
  <c r="D37" i="17"/>
  <c r="D36" i="17"/>
  <c r="D35" i="17"/>
  <c r="D32" i="17"/>
  <c r="D31" i="17"/>
  <c r="D30" i="17"/>
  <c r="D29" i="17"/>
  <c r="D28" i="17"/>
  <c r="D27" i="17"/>
  <c r="D26" i="17"/>
  <c r="D25" i="17"/>
  <c r="D24" i="17"/>
  <c r="D23" i="17"/>
  <c r="D22" i="17"/>
  <c r="D18" i="17"/>
  <c r="C61" i="17"/>
  <c r="C32" i="17"/>
  <c r="C31" i="17"/>
  <c r="C30" i="17"/>
  <c r="C29" i="17"/>
  <c r="C28" i="17"/>
  <c r="C27" i="17"/>
  <c r="C26" i="17"/>
  <c r="C25" i="17"/>
  <c r="C24" i="17"/>
  <c r="C23" i="17"/>
  <c r="C22" i="17"/>
  <c r="C18" i="17"/>
  <c r="C17" i="17"/>
  <c r="C16" i="17"/>
  <c r="C15" i="17"/>
  <c r="D72" i="17" l="1"/>
  <c r="I71" i="17"/>
  <c r="I70" i="17"/>
  <c r="I69" i="17"/>
  <c r="I68" i="17"/>
  <c r="I67" i="17"/>
  <c r="K59" i="17"/>
  <c r="G59" i="17"/>
  <c r="K58" i="17"/>
  <c r="G58" i="17"/>
  <c r="K57" i="17"/>
  <c r="K56" i="17" s="1"/>
  <c r="G57" i="17"/>
  <c r="J56" i="17"/>
  <c r="I56" i="17"/>
  <c r="H56" i="17"/>
  <c r="G56" i="17"/>
  <c r="E56" i="17"/>
  <c r="D56" i="17"/>
  <c r="C56" i="17"/>
  <c r="B56" i="17"/>
  <c r="K55" i="17"/>
  <c r="G55" i="17"/>
  <c r="K54" i="17"/>
  <c r="G54" i="17"/>
  <c r="K53" i="17"/>
  <c r="J53" i="17"/>
  <c r="I53" i="17"/>
  <c r="H53" i="17"/>
  <c r="E53" i="17"/>
  <c r="D53" i="17"/>
  <c r="C53" i="17"/>
  <c r="G53" i="17" s="1"/>
  <c r="B53" i="17"/>
  <c r="K52" i="17"/>
  <c r="G52" i="17"/>
  <c r="K51" i="17"/>
  <c r="G51" i="17"/>
  <c r="K50" i="17"/>
  <c r="G50" i="17"/>
  <c r="K49" i="17"/>
  <c r="G49" i="17"/>
  <c r="K48" i="17"/>
  <c r="G48" i="17"/>
  <c r="K47" i="17"/>
  <c r="J47" i="17"/>
  <c r="I47" i="17"/>
  <c r="H47" i="17"/>
  <c r="G47" i="17"/>
  <c r="E47" i="17"/>
  <c r="D47" i="17"/>
  <c r="C47" i="17"/>
  <c r="B47" i="17"/>
  <c r="K46" i="17"/>
  <c r="G46" i="17"/>
  <c r="K45" i="17"/>
  <c r="G45" i="17"/>
  <c r="K44" i="17"/>
  <c r="G44" i="17"/>
  <c r="K43" i="17"/>
  <c r="G43" i="17"/>
  <c r="K42" i="17"/>
  <c r="G42" i="17"/>
  <c r="K41" i="17"/>
  <c r="G41" i="17"/>
  <c r="K40" i="17"/>
  <c r="G40" i="17"/>
  <c r="K39" i="17"/>
  <c r="G39" i="17"/>
  <c r="K38" i="17"/>
  <c r="G38" i="17"/>
  <c r="K37" i="17"/>
  <c r="G37" i="17"/>
  <c r="K36" i="17"/>
  <c r="G36" i="17"/>
  <c r="K35" i="17"/>
  <c r="G35" i="17"/>
  <c r="D33" i="17"/>
  <c r="K34" i="17"/>
  <c r="G34" i="17"/>
  <c r="J33" i="17"/>
  <c r="I33" i="17"/>
  <c r="H33" i="17"/>
  <c r="E33" i="17"/>
  <c r="C33" i="17"/>
  <c r="G33" i="17" s="1"/>
  <c r="B33" i="17"/>
  <c r="K32" i="17"/>
  <c r="F32" i="17"/>
  <c r="K31" i="17"/>
  <c r="G31" i="17"/>
  <c r="K30" i="17"/>
  <c r="L30" i="17"/>
  <c r="F30" i="17"/>
  <c r="K29" i="17"/>
  <c r="L29" i="17"/>
  <c r="G29" i="17"/>
  <c r="K28" i="17"/>
  <c r="F28" i="17"/>
  <c r="G28" i="17"/>
  <c r="K27" i="17"/>
  <c r="F27" i="17"/>
  <c r="G27" i="17"/>
  <c r="K26" i="17"/>
  <c r="L26" i="17"/>
  <c r="K25" i="17"/>
  <c r="F25" i="17"/>
  <c r="K24" i="17"/>
  <c r="F24" i="17"/>
  <c r="K23" i="17"/>
  <c r="L23" i="17"/>
  <c r="G23" i="17"/>
  <c r="J21" i="17"/>
  <c r="N22" i="17" s="1"/>
  <c r="L22" i="17"/>
  <c r="D21" i="17"/>
  <c r="I21" i="17"/>
  <c r="H21" i="17"/>
  <c r="C21" i="17"/>
  <c r="B21" i="17"/>
  <c r="K20" i="17"/>
  <c r="G20" i="17"/>
  <c r="K19" i="17"/>
  <c r="G19" i="17"/>
  <c r="L18" i="17"/>
  <c r="K18" i="17"/>
  <c r="G18" i="17"/>
  <c r="F18" i="17"/>
  <c r="L17" i="17"/>
  <c r="K17" i="17"/>
  <c r="G17" i="17"/>
  <c r="L16" i="17"/>
  <c r="K16" i="17"/>
  <c r="G16" i="17"/>
  <c r="B16" i="17"/>
  <c r="K15" i="17"/>
  <c r="E14" i="17"/>
  <c r="G15" i="17"/>
  <c r="B15" i="17"/>
  <c r="J14" i="17"/>
  <c r="I14" i="17"/>
  <c r="I60" i="17" s="1"/>
  <c r="H14" i="17"/>
  <c r="D14" i="17"/>
  <c r="B14" i="17"/>
  <c r="B60" i="17" s="1"/>
  <c r="G71" i="16"/>
  <c r="G70" i="16"/>
  <c r="G69" i="16"/>
  <c r="G68" i="16"/>
  <c r="G67" i="16"/>
  <c r="J61" i="16"/>
  <c r="M22" i="16"/>
  <c r="J25" i="16"/>
  <c r="J24" i="16"/>
  <c r="J22" i="16"/>
  <c r="J15" i="16"/>
  <c r="J60" i="17" l="1"/>
  <c r="K14" i="17"/>
  <c r="G72" i="17"/>
  <c r="I72" i="17" s="1"/>
  <c r="K33" i="17"/>
  <c r="H60" i="17"/>
  <c r="L24" i="17"/>
  <c r="L25" i="17"/>
  <c r="F29" i="17"/>
  <c r="G22" i="17"/>
  <c r="F26" i="17"/>
  <c r="C14" i="17"/>
  <c r="G14" i="17" s="1"/>
  <c r="F16" i="17"/>
  <c r="F23" i="17"/>
  <c r="L14" i="17"/>
  <c r="D60" i="17"/>
  <c r="G25" i="17"/>
  <c r="L28" i="17"/>
  <c r="G30" i="17"/>
  <c r="G32" i="17"/>
  <c r="F15" i="17"/>
  <c r="L15" i="17"/>
  <c r="F17" i="17"/>
  <c r="K22" i="17"/>
  <c r="K21" i="17" s="1"/>
  <c r="L27" i="17"/>
  <c r="G24" i="17"/>
  <c r="G26" i="17"/>
  <c r="C60" i="17"/>
  <c r="E21" i="17"/>
  <c r="F22" i="17"/>
  <c r="I66" i="17"/>
  <c r="K60" i="17" l="1"/>
  <c r="M64" i="17"/>
  <c r="N64" i="17" s="1"/>
  <c r="F14" i="17"/>
  <c r="F21" i="17"/>
  <c r="L21" i="17"/>
  <c r="E60" i="17"/>
  <c r="G61" i="17" s="1"/>
  <c r="G21" i="17"/>
  <c r="G60" i="17" s="1"/>
  <c r="F60" i="17" l="1"/>
  <c r="L60" i="17"/>
  <c r="H33" i="16" l="1"/>
  <c r="N21" i="16"/>
  <c r="H21" i="16"/>
  <c r="E22" i="16"/>
  <c r="E32" i="16"/>
  <c r="E31" i="16"/>
  <c r="E30" i="16"/>
  <c r="E29" i="16"/>
  <c r="E28" i="16"/>
  <c r="E27" i="16"/>
  <c r="E26" i="16"/>
  <c r="E25" i="16"/>
  <c r="E23" i="16"/>
  <c r="D40" i="16" l="1"/>
  <c r="D61" i="16"/>
  <c r="D45" i="16"/>
  <c r="D44" i="16"/>
  <c r="D43" i="16"/>
  <c r="D42" i="16"/>
  <c r="D41" i="16"/>
  <c r="D39" i="16"/>
  <c r="D38" i="16"/>
  <c r="D37" i="16"/>
  <c r="D36" i="16"/>
  <c r="D35" i="16"/>
  <c r="D32" i="16"/>
  <c r="D31" i="16"/>
  <c r="D30" i="16"/>
  <c r="D29" i="16"/>
  <c r="D28" i="16"/>
  <c r="D27" i="16"/>
  <c r="D26" i="16"/>
  <c r="D25" i="16"/>
  <c r="D24" i="16"/>
  <c r="D23" i="16"/>
  <c r="D22" i="16"/>
  <c r="D18" i="16"/>
  <c r="C61" i="16"/>
  <c r="C32" i="16"/>
  <c r="C31" i="16"/>
  <c r="C30" i="16"/>
  <c r="C29" i="16"/>
  <c r="C28" i="16"/>
  <c r="C27" i="16"/>
  <c r="C26" i="16"/>
  <c r="C25" i="16"/>
  <c r="C24" i="16"/>
  <c r="C23" i="16"/>
  <c r="C22" i="16"/>
  <c r="C18" i="16"/>
  <c r="C17" i="16"/>
  <c r="C16" i="16"/>
  <c r="C15" i="16"/>
  <c r="D72" i="16" l="1"/>
  <c r="I71" i="16"/>
  <c r="I70" i="16"/>
  <c r="I69" i="16"/>
  <c r="I68" i="16"/>
  <c r="I67" i="16"/>
  <c r="K59" i="16"/>
  <c r="G59" i="16"/>
  <c r="K58" i="16"/>
  <c r="G58" i="16"/>
  <c r="K57" i="16"/>
  <c r="G57" i="16"/>
  <c r="J56" i="16"/>
  <c r="I56" i="16"/>
  <c r="H56" i="16"/>
  <c r="G56" i="16"/>
  <c r="E56" i="16"/>
  <c r="D56" i="16"/>
  <c r="C56" i="16"/>
  <c r="B56" i="16"/>
  <c r="K55" i="16"/>
  <c r="G55" i="16"/>
  <c r="K54" i="16"/>
  <c r="K53" i="16" s="1"/>
  <c r="G54" i="16"/>
  <c r="J53" i="16"/>
  <c r="I53" i="16"/>
  <c r="H53" i="16"/>
  <c r="E53" i="16"/>
  <c r="D53" i="16"/>
  <c r="C53" i="16"/>
  <c r="G53" i="16" s="1"/>
  <c r="B53" i="16"/>
  <c r="K52" i="16"/>
  <c r="G52" i="16"/>
  <c r="K51" i="16"/>
  <c r="G51" i="16"/>
  <c r="K50" i="16"/>
  <c r="G50" i="16"/>
  <c r="K49" i="16"/>
  <c r="G49" i="16"/>
  <c r="K48" i="16"/>
  <c r="G48" i="16"/>
  <c r="K47" i="16"/>
  <c r="J47" i="16"/>
  <c r="I47" i="16"/>
  <c r="H47" i="16"/>
  <c r="G47" i="16"/>
  <c r="E47" i="16"/>
  <c r="D47" i="16"/>
  <c r="C47" i="16"/>
  <c r="B47" i="16"/>
  <c r="K46" i="16"/>
  <c r="G46" i="16"/>
  <c r="K45" i="16"/>
  <c r="G45" i="16"/>
  <c r="K44" i="16"/>
  <c r="G44" i="16"/>
  <c r="K43" i="16"/>
  <c r="G43" i="16"/>
  <c r="K42" i="16"/>
  <c r="G42" i="16"/>
  <c r="K41" i="16"/>
  <c r="G41" i="16"/>
  <c r="K40" i="16"/>
  <c r="G40" i="16"/>
  <c r="K39" i="16"/>
  <c r="G39" i="16"/>
  <c r="K38" i="16"/>
  <c r="G38" i="16"/>
  <c r="K37" i="16"/>
  <c r="G37" i="16"/>
  <c r="K36" i="16"/>
  <c r="G36" i="16"/>
  <c r="D33" i="16"/>
  <c r="K35" i="16"/>
  <c r="G35" i="16"/>
  <c r="K34" i="16"/>
  <c r="G34" i="16"/>
  <c r="J33" i="16"/>
  <c r="I33" i="16"/>
  <c r="E33" i="16"/>
  <c r="C33" i="16"/>
  <c r="G33" i="16" s="1"/>
  <c r="B33" i="16"/>
  <c r="K32" i="16"/>
  <c r="F32" i="16"/>
  <c r="K31" i="16"/>
  <c r="G31" i="16"/>
  <c r="K30" i="16"/>
  <c r="L30" i="16"/>
  <c r="F30" i="16"/>
  <c r="K29" i="16"/>
  <c r="L29" i="16"/>
  <c r="K28" i="16"/>
  <c r="L28" i="16"/>
  <c r="G28" i="16"/>
  <c r="K27" i="16"/>
  <c r="F27" i="16"/>
  <c r="K26" i="16"/>
  <c r="L26" i="16"/>
  <c r="F26" i="16"/>
  <c r="K25" i="16"/>
  <c r="L25" i="16"/>
  <c r="F25" i="16"/>
  <c r="K24" i="16"/>
  <c r="L24" i="16"/>
  <c r="F24" i="16"/>
  <c r="K23" i="16"/>
  <c r="L23" i="16"/>
  <c r="G23" i="16"/>
  <c r="L22" i="16"/>
  <c r="D21" i="16"/>
  <c r="G22" i="16"/>
  <c r="I21" i="16"/>
  <c r="C21" i="16"/>
  <c r="B21" i="16"/>
  <c r="K20" i="16"/>
  <c r="G20" i="16"/>
  <c r="K19" i="16"/>
  <c r="G19" i="16"/>
  <c r="L18" i="16"/>
  <c r="K18" i="16"/>
  <c r="G18" i="16"/>
  <c r="F18" i="16"/>
  <c r="L17" i="16"/>
  <c r="K17" i="16"/>
  <c r="G17" i="16"/>
  <c r="L16" i="16"/>
  <c r="K16" i="16"/>
  <c r="F16" i="16"/>
  <c r="G16" i="16"/>
  <c r="B16" i="16"/>
  <c r="K15" i="16"/>
  <c r="E14" i="16"/>
  <c r="G15" i="16"/>
  <c r="B15" i="16"/>
  <c r="I14" i="16"/>
  <c r="I60" i="16" s="1"/>
  <c r="H14" i="16"/>
  <c r="D14" i="16"/>
  <c r="C14" i="16"/>
  <c r="B14" i="16"/>
  <c r="B60" i="16" s="1"/>
  <c r="G71" i="14"/>
  <c r="G70" i="14"/>
  <c r="G69" i="14"/>
  <c r="G68" i="14"/>
  <c r="I68" i="14" s="1"/>
  <c r="G67" i="14"/>
  <c r="M22" i="14"/>
  <c r="J61" i="14"/>
  <c r="J25" i="14"/>
  <c r="J24" i="14"/>
  <c r="J22" i="14"/>
  <c r="J15" i="14"/>
  <c r="J22" i="1"/>
  <c r="J15" i="1"/>
  <c r="J14" i="1" s="1"/>
  <c r="J24" i="1"/>
  <c r="J25" i="1"/>
  <c r="J33" i="1"/>
  <c r="J21" i="1" l="1"/>
  <c r="N22" i="1" s="1"/>
  <c r="J14" i="16"/>
  <c r="J21" i="16"/>
  <c r="N22" i="16" s="1"/>
  <c r="G72" i="16"/>
  <c r="I72" i="16" s="1"/>
  <c r="K56" i="16"/>
  <c r="K33" i="16"/>
  <c r="H60" i="16"/>
  <c r="G29" i="16"/>
  <c r="G14" i="16"/>
  <c r="G27" i="16"/>
  <c r="F29" i="16"/>
  <c r="D60" i="16"/>
  <c r="F23" i="16"/>
  <c r="F14" i="16"/>
  <c r="L14" i="16"/>
  <c r="G25" i="16"/>
  <c r="C60" i="16"/>
  <c r="M64" i="16" s="1"/>
  <c r="F15" i="16"/>
  <c r="L15" i="16"/>
  <c r="F17" i="16"/>
  <c r="K22" i="16"/>
  <c r="K21" i="16" s="1"/>
  <c r="L27" i="16"/>
  <c r="F28" i="16"/>
  <c r="G24" i="16"/>
  <c r="G26" i="16"/>
  <c r="G30" i="16"/>
  <c r="G32" i="16"/>
  <c r="E21" i="16"/>
  <c r="F22" i="16"/>
  <c r="I66" i="16"/>
  <c r="J60" i="1"/>
  <c r="J60" i="16" l="1"/>
  <c r="K14" i="16"/>
  <c r="K60" i="16" s="1"/>
  <c r="F21" i="16"/>
  <c r="L21" i="16"/>
  <c r="G21" i="16"/>
  <c r="G60" i="16" s="1"/>
  <c r="N64" i="16"/>
  <c r="E60" i="16"/>
  <c r="N21" i="14"/>
  <c r="H14" i="14"/>
  <c r="H21" i="14"/>
  <c r="E14" i="14"/>
  <c r="E32" i="14"/>
  <c r="E31" i="14"/>
  <c r="E30" i="14"/>
  <c r="E29" i="14"/>
  <c r="E28" i="14"/>
  <c r="E27" i="14"/>
  <c r="E26" i="14"/>
  <c r="E25" i="14"/>
  <c r="E23" i="14"/>
  <c r="E22" i="14"/>
  <c r="E21" i="14" l="1"/>
  <c r="F60" i="16"/>
  <c r="L60" i="16"/>
  <c r="G61" i="16"/>
  <c r="C61" i="14" l="1"/>
  <c r="D56" i="14"/>
  <c r="D53" i="14"/>
  <c r="D47" i="14"/>
  <c r="D61" i="14" l="1"/>
  <c r="D35" i="14"/>
  <c r="D45" i="14" l="1"/>
  <c r="D44" i="14"/>
  <c r="D43" i="14"/>
  <c r="D42" i="14"/>
  <c r="D41" i="14"/>
  <c r="D40" i="14"/>
  <c r="D39" i="14"/>
  <c r="D38" i="14"/>
  <c r="D37" i="14"/>
  <c r="D36" i="14"/>
  <c r="D32" i="14"/>
  <c r="D31" i="14"/>
  <c r="D30" i="14"/>
  <c r="D29" i="14"/>
  <c r="D28" i="14"/>
  <c r="D27" i="14"/>
  <c r="D26" i="14"/>
  <c r="D25" i="14"/>
  <c r="D24" i="14"/>
  <c r="D23" i="14"/>
  <c r="D22" i="14"/>
  <c r="C32" i="14"/>
  <c r="C31" i="14"/>
  <c r="C30" i="14"/>
  <c r="C29" i="14"/>
  <c r="C28" i="14"/>
  <c r="C27" i="14"/>
  <c r="C26" i="14"/>
  <c r="C25" i="14"/>
  <c r="C24" i="14"/>
  <c r="C23" i="14"/>
  <c r="C22" i="14"/>
  <c r="D18" i="14"/>
  <c r="D14" i="14" s="1"/>
  <c r="C18" i="14"/>
  <c r="C17" i="14"/>
  <c r="C16" i="14"/>
  <c r="C15" i="14"/>
  <c r="D33" i="14" l="1"/>
  <c r="D21" i="14"/>
  <c r="G15" i="14"/>
  <c r="C14" i="14"/>
  <c r="G22" i="14"/>
  <c r="C21" i="14"/>
  <c r="D72" i="14"/>
  <c r="I71" i="14"/>
  <c r="I70" i="14"/>
  <c r="I69" i="14"/>
  <c r="I67" i="14"/>
  <c r="K59" i="14"/>
  <c r="G59" i="14"/>
  <c r="K58" i="14"/>
  <c r="G58" i="14"/>
  <c r="K57" i="14"/>
  <c r="G57" i="14"/>
  <c r="J56" i="14"/>
  <c r="I56" i="14"/>
  <c r="H56" i="14"/>
  <c r="G56" i="14"/>
  <c r="E56" i="14"/>
  <c r="C56" i="14"/>
  <c r="B56" i="14"/>
  <c r="K55" i="14"/>
  <c r="G55" i="14"/>
  <c r="K54" i="14"/>
  <c r="G54" i="14"/>
  <c r="K53" i="14"/>
  <c r="J53" i="14"/>
  <c r="I53" i="14"/>
  <c r="H53" i="14"/>
  <c r="E53" i="14"/>
  <c r="C53" i="14"/>
  <c r="G53" i="14" s="1"/>
  <c r="B53" i="14"/>
  <c r="K52" i="14"/>
  <c r="G52" i="14"/>
  <c r="K51" i="14"/>
  <c r="G51" i="14"/>
  <c r="K50" i="14"/>
  <c r="G50" i="14"/>
  <c r="K49" i="14"/>
  <c r="K47" i="14" s="1"/>
  <c r="G49" i="14"/>
  <c r="K48" i="14"/>
  <c r="G48" i="14"/>
  <c r="J47" i="14"/>
  <c r="I47" i="14"/>
  <c r="H47" i="14"/>
  <c r="G47" i="14"/>
  <c r="E47" i="14"/>
  <c r="C47" i="14"/>
  <c r="B47" i="14"/>
  <c r="K46" i="14"/>
  <c r="G46" i="14"/>
  <c r="K45" i="14"/>
  <c r="G45" i="14"/>
  <c r="K44" i="14"/>
  <c r="G44" i="14"/>
  <c r="K43" i="14"/>
  <c r="G43" i="14"/>
  <c r="K42" i="14"/>
  <c r="G42" i="14"/>
  <c r="K41" i="14"/>
  <c r="G41" i="14"/>
  <c r="K40" i="14"/>
  <c r="G40" i="14"/>
  <c r="K39" i="14"/>
  <c r="G39" i="14"/>
  <c r="K38" i="14"/>
  <c r="G38" i="14"/>
  <c r="K37" i="14"/>
  <c r="G37" i="14"/>
  <c r="K36" i="14"/>
  <c r="G36" i="14"/>
  <c r="K35" i="14"/>
  <c r="G35" i="14"/>
  <c r="K34" i="14"/>
  <c r="G34" i="14"/>
  <c r="J33" i="14"/>
  <c r="I33" i="14"/>
  <c r="H33" i="14"/>
  <c r="E33" i="14"/>
  <c r="C33" i="14"/>
  <c r="G33" i="14" s="1"/>
  <c r="B33" i="14"/>
  <c r="K32" i="14"/>
  <c r="F32" i="14"/>
  <c r="K31" i="14"/>
  <c r="G31" i="14"/>
  <c r="K30" i="14"/>
  <c r="G30" i="14"/>
  <c r="K29" i="14"/>
  <c r="L29" i="14"/>
  <c r="G29" i="14"/>
  <c r="K28" i="14"/>
  <c r="G28" i="14"/>
  <c r="K27" i="14"/>
  <c r="L27" i="14"/>
  <c r="G27" i="14"/>
  <c r="K26" i="14"/>
  <c r="L26" i="14"/>
  <c r="F26" i="14"/>
  <c r="L25" i="14"/>
  <c r="K25" i="14"/>
  <c r="G25" i="14"/>
  <c r="F25" i="14"/>
  <c r="L24" i="14"/>
  <c r="K24" i="14"/>
  <c r="F24" i="14"/>
  <c r="K23" i="14"/>
  <c r="L23" i="14"/>
  <c r="G23" i="14"/>
  <c r="L22" i="14"/>
  <c r="K22" i="14"/>
  <c r="F22" i="14"/>
  <c r="J21" i="14"/>
  <c r="N22" i="14" s="1"/>
  <c r="I21" i="14"/>
  <c r="B21" i="14"/>
  <c r="K20" i="14"/>
  <c r="G20" i="14"/>
  <c r="K19" i="14"/>
  <c r="G19" i="14"/>
  <c r="L18" i="14"/>
  <c r="K18" i="14"/>
  <c r="G18" i="14"/>
  <c r="L17" i="14"/>
  <c r="K17" i="14"/>
  <c r="G17" i="14"/>
  <c r="F17" i="14"/>
  <c r="L16" i="14"/>
  <c r="K16" i="14"/>
  <c r="G16" i="14"/>
  <c r="B16" i="14"/>
  <c r="K15" i="14"/>
  <c r="L15" i="14"/>
  <c r="B15" i="14"/>
  <c r="I14" i="14"/>
  <c r="I60" i="14" s="1"/>
  <c r="B14" i="14"/>
  <c r="B60" i="14" s="1"/>
  <c r="G71" i="1"/>
  <c r="I71" i="1" s="1"/>
  <c r="G70" i="1"/>
  <c r="I70" i="1" s="1"/>
  <c r="G69" i="1"/>
  <c r="I69" i="1" s="1"/>
  <c r="G68" i="1"/>
  <c r="I68" i="1" s="1"/>
  <c r="G67" i="1"/>
  <c r="I67" i="1" s="1"/>
  <c r="I66" i="1"/>
  <c r="D72" i="1"/>
  <c r="K57" i="1"/>
  <c r="K56" i="1"/>
  <c r="C60" i="14" l="1"/>
  <c r="G72" i="14"/>
  <c r="I72" i="14" s="1"/>
  <c r="J14" i="14"/>
  <c r="J60" i="14" s="1"/>
  <c r="K56" i="14"/>
  <c r="K33" i="14"/>
  <c r="H60" i="14"/>
  <c r="E60" i="14"/>
  <c r="G61" i="14" s="1"/>
  <c r="D60" i="14"/>
  <c r="F18" i="14"/>
  <c r="F23" i="14"/>
  <c r="F29" i="14"/>
  <c r="F30" i="14"/>
  <c r="K21" i="14"/>
  <c r="L21" i="14"/>
  <c r="G26" i="14"/>
  <c r="F16" i="14"/>
  <c r="G21" i="14"/>
  <c r="F28" i="14"/>
  <c r="G24" i="14"/>
  <c r="G32" i="14"/>
  <c r="L14" i="14"/>
  <c r="F15" i="14"/>
  <c r="F27" i="14"/>
  <c r="L30" i="14"/>
  <c r="I66" i="14"/>
  <c r="L28" i="14"/>
  <c r="K14" i="14" l="1"/>
  <c r="K60" i="14" s="1"/>
  <c r="L60" i="14"/>
  <c r="M64" i="14"/>
  <c r="N64" i="14" s="1"/>
  <c r="G14" i="14"/>
  <c r="G60" i="14" s="1"/>
  <c r="F14" i="14"/>
  <c r="F21" i="14"/>
  <c r="I14" i="1"/>
  <c r="N21" i="1"/>
  <c r="H60" i="1"/>
  <c r="H56" i="1"/>
  <c r="H53" i="1"/>
  <c r="H47" i="1"/>
  <c r="H33" i="1"/>
  <c r="H21" i="1"/>
  <c r="H14" i="1"/>
  <c r="K33" i="1"/>
  <c r="I33" i="1"/>
  <c r="E33" i="1"/>
  <c r="C33" i="1"/>
  <c r="G33" i="1" s="1"/>
  <c r="K52" i="1"/>
  <c r="K47" i="1" s="1"/>
  <c r="K51" i="1"/>
  <c r="K46" i="1"/>
  <c r="K45" i="1"/>
  <c r="G46" i="1"/>
  <c r="D45" i="1"/>
  <c r="K34" i="1"/>
  <c r="K35" i="1"/>
  <c r="G34" i="1"/>
  <c r="F60" i="14" l="1"/>
  <c r="G52" i="1"/>
  <c r="G51" i="1"/>
  <c r="E25" i="1"/>
  <c r="E24" i="1"/>
  <c r="E23" i="1"/>
  <c r="E22" i="1"/>
  <c r="E14" i="1"/>
  <c r="E53" i="1"/>
  <c r="E47" i="1"/>
  <c r="E32" i="1"/>
  <c r="E31" i="1"/>
  <c r="E30" i="1"/>
  <c r="L30" i="1" s="1"/>
  <c r="E29" i="1"/>
  <c r="E28" i="1"/>
  <c r="E27" i="1"/>
  <c r="E26" i="1"/>
  <c r="E21" i="1" l="1"/>
  <c r="D56" i="1" l="1"/>
  <c r="D53" i="1"/>
  <c r="D47" i="1"/>
  <c r="C56" i="1"/>
  <c r="C53" i="1"/>
  <c r="C47" i="1"/>
  <c r="C18" i="1"/>
  <c r="D18" i="1" l="1"/>
  <c r="D14" i="1" s="1"/>
  <c r="D44" i="1"/>
  <c r="D43" i="1"/>
  <c r="D42" i="1"/>
  <c r="D41" i="1"/>
  <c r="D40" i="1"/>
  <c r="D39" i="1"/>
  <c r="D38" i="1"/>
  <c r="D37" i="1"/>
  <c r="D36" i="1"/>
  <c r="D35" i="1"/>
  <c r="D32" i="1"/>
  <c r="D31" i="1"/>
  <c r="D30" i="1"/>
  <c r="D29" i="1"/>
  <c r="D28" i="1"/>
  <c r="D27" i="1"/>
  <c r="D26" i="1"/>
  <c r="D25" i="1"/>
  <c r="D24" i="1"/>
  <c r="D23" i="1"/>
  <c r="D22" i="1"/>
  <c r="C32" i="1"/>
  <c r="C31" i="1"/>
  <c r="C30" i="1"/>
  <c r="C29" i="1"/>
  <c r="C28" i="1"/>
  <c r="C27" i="1"/>
  <c r="C26" i="1"/>
  <c r="C25" i="1"/>
  <c r="C24" i="1"/>
  <c r="C23" i="1"/>
  <c r="C22" i="1"/>
  <c r="C17" i="1"/>
  <c r="C16" i="1"/>
  <c r="C15" i="1"/>
  <c r="D33" i="1" l="1"/>
  <c r="D21" i="1"/>
  <c r="C14" i="1"/>
  <c r="C21" i="1"/>
  <c r="F18" i="1"/>
  <c r="K36" i="1"/>
  <c r="K37" i="1"/>
  <c r="K38" i="1"/>
  <c r="K39" i="1"/>
  <c r="K40" i="1"/>
  <c r="K41" i="1"/>
  <c r="K42" i="1"/>
  <c r="K43" i="1"/>
  <c r="K44" i="1"/>
  <c r="K22" i="1"/>
  <c r="G36" i="1"/>
  <c r="G37" i="1"/>
  <c r="G38" i="1"/>
  <c r="G39" i="1"/>
  <c r="G40" i="1"/>
  <c r="G41" i="1"/>
  <c r="G42" i="1"/>
  <c r="G43" i="1"/>
  <c r="G44" i="1"/>
  <c r="G45" i="1"/>
  <c r="G35" i="1"/>
  <c r="G32" i="1"/>
  <c r="F22" i="1"/>
  <c r="B33" i="1"/>
  <c r="F32" i="1"/>
  <c r="B21" i="1"/>
  <c r="B16" i="1"/>
  <c r="B15" i="1"/>
  <c r="D60" i="1" l="1"/>
  <c r="C60" i="1"/>
  <c r="F15" i="1"/>
  <c r="G24" i="1" l="1"/>
  <c r="G22" i="1"/>
  <c r="F21" i="1"/>
  <c r="G56" i="1" l="1"/>
  <c r="G72" i="1"/>
  <c r="I72" i="1" s="1"/>
  <c r="G59" i="1"/>
  <c r="G58" i="1"/>
  <c r="G57" i="1"/>
  <c r="G55" i="1"/>
  <c r="G54" i="1"/>
  <c r="G50" i="1"/>
  <c r="G49" i="1"/>
  <c r="G48" i="1"/>
  <c r="G30" i="1"/>
  <c r="F30" i="1"/>
  <c r="G31" i="1"/>
  <c r="G29" i="1"/>
  <c r="G28" i="1"/>
  <c r="G27" i="1"/>
  <c r="G26" i="1"/>
  <c r="G25" i="1"/>
  <c r="G23" i="1"/>
  <c r="I21" i="1"/>
  <c r="G21" i="1"/>
  <c r="J56" i="1"/>
  <c r="I56" i="1"/>
  <c r="E56" i="1"/>
  <c r="B56" i="1"/>
  <c r="K58" i="1"/>
  <c r="K59" i="1"/>
  <c r="K55" i="1"/>
  <c r="K54" i="1"/>
  <c r="K50" i="1"/>
  <c r="K49" i="1"/>
  <c r="K48" i="1"/>
  <c r="K31" i="1"/>
  <c r="M64" i="1" l="1"/>
  <c r="G16" i="1"/>
  <c r="K53" i="1" l="1"/>
  <c r="J53" i="1"/>
  <c r="I53" i="1"/>
  <c r="G53" i="1"/>
  <c r="B53" i="1"/>
  <c r="J47" i="1"/>
  <c r="I47" i="1"/>
  <c r="G47" i="1"/>
  <c r="B47" i="1"/>
  <c r="I60" i="1" l="1"/>
  <c r="E60" i="1" l="1"/>
  <c r="G61" i="1" s="1"/>
  <c r="L21" i="1"/>
  <c r="K14" i="1"/>
  <c r="L23" i="1" l="1"/>
  <c r="L24" i="1"/>
  <c r="L25" i="1"/>
  <c r="L26" i="1"/>
  <c r="L27" i="1"/>
  <c r="L28" i="1"/>
  <c r="L29" i="1"/>
  <c r="L16" i="1"/>
  <c r="L17" i="1"/>
  <c r="L18" i="1"/>
  <c r="L22" i="1"/>
  <c r="K15" i="1"/>
  <c r="K16" i="1"/>
  <c r="K17" i="1"/>
  <c r="K18" i="1"/>
  <c r="K19" i="1"/>
  <c r="K20" i="1"/>
  <c r="K23" i="1"/>
  <c r="K24" i="1"/>
  <c r="K25" i="1"/>
  <c r="K26" i="1"/>
  <c r="K27" i="1"/>
  <c r="K28" i="1"/>
  <c r="K29" i="1"/>
  <c r="K30" i="1"/>
  <c r="K32" i="1"/>
  <c r="G17" i="1"/>
  <c r="G18" i="1"/>
  <c r="G19" i="1"/>
  <c r="G20" i="1"/>
  <c r="F23" i="1"/>
  <c r="F24" i="1"/>
  <c r="F25" i="1"/>
  <c r="F26" i="1"/>
  <c r="F27" i="1"/>
  <c r="F28" i="1"/>
  <c r="F29" i="1"/>
  <c r="F16" i="1"/>
  <c r="F17" i="1"/>
  <c r="G15" i="1"/>
  <c r="B14" i="1"/>
  <c r="B60" i="1" l="1"/>
  <c r="L60" i="1" s="1"/>
  <c r="L14" i="1"/>
  <c r="G14" i="1"/>
  <c r="L15" i="1"/>
  <c r="K21" i="1"/>
  <c r="K60" i="1" s="1"/>
  <c r="F60" i="1" l="1"/>
  <c r="G60" i="1"/>
  <c r="F14" i="1"/>
</calcChain>
</file>

<file path=xl/comments1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8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7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TESORERIA MUNICIPAL</author>
    <author>Vanessa</author>
  </authors>
  <commentList>
    <comment ref="H14" authorId="0" shapeId="0">
      <text>
        <r>
          <rPr>
            <b/>
            <sz val="9"/>
            <color indexed="81"/>
            <rFont val="Tahoma"/>
            <family val="2"/>
          </rPr>
          <t>TESORERIA: la sumatoria por año, debe coincidir con el Saldo de la balanza mensual</t>
        </r>
      </text>
    </comment>
    <comment ref="C15" authorId="1" shapeId="0">
      <text>
        <r>
          <rPr>
            <b/>
            <sz val="9"/>
            <color indexed="81"/>
            <rFont val="Tahoma"/>
            <family val="2"/>
          </rPr>
          <t>COMPORT. PRES. ING. REPO SUMATORIA DE DEVENGADO 1.1 + 1.2 + 1.8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5" authorId="1" shapeId="0">
      <text>
        <r>
          <rPr>
            <b/>
            <sz val="9"/>
            <color indexed="81"/>
            <rFont val="Tahoma"/>
            <family val="2"/>
          </rPr>
          <t>SALDO 4154 POR FUENTE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COMP. PRES. EGRESOS
REPO DEVENGADO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TESORERIA:
2.1.1.7 POR FUENTE DE FINANC. (ABONOS)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COMP. PRES. ING. DEVENGADO SUMATORIA DE 4.3 + 4.6 + 4.7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COMP. PRES. ING. REPO DEVENGADO DE 6.1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COMP. PRES. ING. REPO DEVENGADO DE 5.1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 xml:space="preserve">BALANZA GLOBAL MENSUAL: SALDO FINAL DE
4.2.1.1 / 4.2.1.2 / 4.2.1.3 / 4.2.2.3 </t>
        </r>
      </text>
    </comment>
    <comment ref="D21" authorId="0" shapeId="0">
      <text>
        <r>
          <rPr>
            <b/>
            <sz val="9"/>
            <color indexed="81"/>
            <rFont val="Tahoma"/>
            <family val="2"/>
          </rPr>
          <t>SALDO DE 4154 POR FUENTE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COMP. PRES. EGR. REPO
DEVENGADO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47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3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TESORERIA:
la sumatoria por año, debe coincidir con el Saldo de la balanza mensual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TESORERIA: Sumatoria de los comportamientos presupuestarios, o aux. por partida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<sst xmlns="http://schemas.openxmlformats.org/spreadsheetml/2006/main" count="1684" uniqueCount="123">
  <si>
    <t>CUADRO RESUMEN DE LA SITUACIÓN FINANCIERA</t>
  </si>
  <si>
    <t>CUENTAS DE RESULTADOS</t>
  </si>
  <si>
    <t>CUENTAS DE BALANCE</t>
  </si>
  <si>
    <t>FUENTE DE FINANCIAMIENTO</t>
  </si>
  <si>
    <t>APROBADO / MODIFICADO ANUAL</t>
  </si>
  <si>
    <t>INGRESOS Y OTROS BENEFICIOS ACUMULADOS</t>
  </si>
  <si>
    <t>INTERESES GENERADOS ACUMULADOS</t>
  </si>
  <si>
    <t>GASTOS Y OTRAS PÉRDIDAS ACUMULADOS</t>
  </si>
  <si>
    <t>%</t>
  </si>
  <si>
    <t>POR EROGAR
(D)</t>
  </si>
  <si>
    <t>SALDOS EN CAJA Y BANCOS
(A)</t>
  </si>
  <si>
    <t>° DEUDORAS DE ACTIVO
(B)</t>
  </si>
  <si>
    <t xml:space="preserve">° ACREEDORAS DE PASIVO
( C ) </t>
  </si>
  <si>
    <t>DIFERENCIA
A+B-C = D</t>
  </si>
  <si>
    <t>AVANCE %</t>
  </si>
  <si>
    <t xml:space="preserve">FIN. </t>
  </si>
  <si>
    <t>ING. PROPIOS</t>
  </si>
  <si>
    <t>Impuestos</t>
  </si>
  <si>
    <t>Derechos</t>
  </si>
  <si>
    <t>Aprovechamientos</t>
  </si>
  <si>
    <t>Productos</t>
  </si>
  <si>
    <t>Ingresos por Ventas</t>
  </si>
  <si>
    <t xml:space="preserve">otros </t>
  </si>
  <si>
    <t>F.G.P</t>
  </si>
  <si>
    <t>F.I.S.M.</t>
  </si>
  <si>
    <t>FORTAMUN-DF</t>
  </si>
  <si>
    <t>FOFIS</t>
  </si>
  <si>
    <t>EXTRAORDINARIOS</t>
  </si>
  <si>
    <t>TOTALES:</t>
  </si>
  <si>
    <t>I  R  R  E  D  U  C  T  I  B  L  E  S</t>
  </si>
  <si>
    <t>CONCEPTO</t>
  </si>
  <si>
    <t>PRESUPUESTO</t>
  </si>
  <si>
    <t>ACUMULADO</t>
  </si>
  <si>
    <t xml:space="preserve"> EJEMPLO:</t>
  </si>
  <si>
    <t>C.N.A.</t>
  </si>
  <si>
    <t>LUZ</t>
  </si>
  <si>
    <t>ELABORÓ:</t>
  </si>
  <si>
    <t>REVISÓ Y AUTORIZÓ:</t>
  </si>
  <si>
    <t>REVISÓ:</t>
  </si>
  <si>
    <t>Formato : FR-02</t>
  </si>
  <si>
    <t>REFERENCIA</t>
  </si>
  <si>
    <t>DESCRIPCIÓN</t>
  </si>
  <si>
    <t>LOGOTIPO:</t>
  </si>
  <si>
    <t>Insertar el logotipo representativo del Municipio.</t>
  </si>
  <si>
    <t>MUNICIPIO DE:</t>
  </si>
  <si>
    <t>Especificar el nombre del Municipio.</t>
  </si>
  <si>
    <t>EJERCICIO FISCAL:</t>
  </si>
  <si>
    <t>Indicar el ejercicio fiscal correspondiente</t>
  </si>
  <si>
    <t>FUENTE DE FINANCIAMIENTO:</t>
  </si>
  <si>
    <t>Nombre de los fondos y ejercicio que maneja el sujeto de revisión.</t>
  </si>
  <si>
    <t>APROBADO / MODIFICADO ANUAL:</t>
  </si>
  <si>
    <t>Refleja las asignaciones presupuestarias anuales según lo establecido en el  Presupuesto de Egresos y sus anexos, o bien, la asignación presupuestaria que resulta de incorporar, en su caso, las adecuaciones presupuestarias al presupuesto aprobado.</t>
  </si>
  <si>
    <t>CUENTAS DE RESULTADOS:</t>
  </si>
  <si>
    <t>Indicar los Ingresos y otros beneficios acumulados, los Intereses Generados acumulados o los Gastos y otras pérdidas acumulados, el porcentaje y los Ingresos y otros beneficios pendientes de erogar.</t>
  </si>
  <si>
    <t>INGRESOS Y OTROS BENEFICIOS ACUMULADOS:</t>
  </si>
  <si>
    <t>Representa el importe de los ingresos y otros beneficios del ente público provenientes de los ingresos de gestión, participaciones, aportaciones, transferencias, asignaciones, subsidios y otras ayudas y otros ingresos.</t>
  </si>
  <si>
    <t>INTERESES GENERADOS ACUMULADOS:</t>
  </si>
  <si>
    <t>Representa el importe de los rendimientos financieros y/o intereses bancarios generados por el manejo de las cuentas bancarias de los de los ingresos de gestión, participaciones, aportaciones, transferencias, asignaciones, subsidios y otras ayudas y otros ingresos.</t>
  </si>
  <si>
    <t>GASTOS Y OTRAS PÉRDIDAS ACUMULADOS:</t>
  </si>
  <si>
    <t>Representa el importe de los gastos y otras pérdidas del ente público, incurridos por gastos de funcionamiento, intereses, transferencias, participaciones y aportaciones otorgadas, otras pérdidas de la gestión y extraordinarias, entre otras.</t>
  </si>
  <si>
    <t>%:</t>
  </si>
  <si>
    <t>Representa el porcentaje de la aplicación de los ingresos, otros bneficios acumulados e intereses generados, y se calcula dividiendo los gastos y otras pérdidas entre los ingresos (mas intereses).</t>
  </si>
  <si>
    <t>POR EROGAR:</t>
  </si>
  <si>
    <t>Importe de ingresos y otros beneficios pendientes de erogar.</t>
  </si>
  <si>
    <t>CUENTAS DE BALANCE:</t>
  </si>
  <si>
    <t>Indicar los saldos en caja y bancos, las cuentas deudoras de activo, acreedoras de pasivo y la diferencia.</t>
  </si>
  <si>
    <t>SALDOS EN CAJA Y BANCOS:</t>
  </si>
  <si>
    <t>Importe reflejado en caja y bancos al mes que se reporta.</t>
  </si>
  <si>
    <t>DEUDORAS DE ACTIVO:</t>
  </si>
  <si>
    <t>Sumatoria de las cuentas deudoras de cada fuente de financiamiento.</t>
  </si>
  <si>
    <t>ACREEDORAS DE PASIVO:</t>
  </si>
  <si>
    <t>Sumatoria de las cuentas acreedoras de cada fuente de financiamiento.</t>
  </si>
  <si>
    <t>DIFERENCIA:</t>
  </si>
  <si>
    <t>Sumatoria de las cuentas de Activo menos Pasivo igual a Recursos por Erogar.</t>
  </si>
  <si>
    <t>AVANCE %:</t>
  </si>
  <si>
    <t>Representa el porcentaje de la aplicación de recursos respecto al presupuesto aprobado/modificado, y se calcula dividiendo los gastos y otras pérdidas entre el presupuesto aprobado/modificado anual.</t>
  </si>
  <si>
    <t>IRREDUCTIBLES:</t>
  </si>
  <si>
    <t>Gastos que el Municipio debe hacer de manera mensual.</t>
  </si>
  <si>
    <t>CONCEPTO:</t>
  </si>
  <si>
    <t>Nombre de la cuenta.</t>
  </si>
  <si>
    <t>PRESUPUESTO:</t>
  </si>
  <si>
    <t>Importe total presupuestado para cada concepto.</t>
  </si>
  <si>
    <t>Importe total ejercido al mes que se reporta.</t>
  </si>
  <si>
    <t>Porcentaje reflejado entre lo presupuestado y lo acumulado, y se calcula dividiendo el acumulado entre el presupuesto</t>
  </si>
  <si>
    <t>Incluir el nombre y firma de la persona que llenó el formato.</t>
  </si>
  <si>
    <t>AUTORIZÓ:</t>
  </si>
  <si>
    <t>Incluir el nombre y firma del responsable del área encargada de la información.</t>
  </si>
  <si>
    <t>Incluir el nombre y firma de la persona que revisó el formato.</t>
  </si>
  <si>
    <t>MUNICIPIO DE: ATOTONILCO DE TULA, HGO.</t>
  </si>
  <si>
    <t xml:space="preserve">TESORERO MUNICIPAL </t>
  </si>
  <si>
    <t>F.F.M.</t>
  </si>
  <si>
    <t>IEPS TAB</t>
  </si>
  <si>
    <t>COMPENSACION ISAN</t>
  </si>
  <si>
    <t>ISAN</t>
  </si>
  <si>
    <t>IIEPS GAS</t>
  </si>
  <si>
    <t>PRODDER</t>
  </si>
  <si>
    <t>FFF IV</t>
  </si>
  <si>
    <t>PARTICIPACIONES Y APORTACIONES 2019</t>
  </si>
  <si>
    <t>PARTICIPACIONES Y APORTACIONES 2018</t>
  </si>
  <si>
    <t>REPO</t>
  </si>
  <si>
    <t>PARTICIPACIONES Y APORTACIONES 2017</t>
  </si>
  <si>
    <t>PARTICIPACIONES Y APORTACIONES 2016</t>
  </si>
  <si>
    <t>PREP</t>
  </si>
  <si>
    <t>INDEMNIZACIONES</t>
  </si>
  <si>
    <t>TELEFONÍA TRADICIONAL</t>
  </si>
  <si>
    <t>ARRENDAMIENTO EQUIPO TRANSPORTE</t>
  </si>
  <si>
    <t>MATERIAL ELECTRICO Y ELECTRONICO</t>
  </si>
  <si>
    <r>
      <t xml:space="preserve">EJERCICIO FISCAL </t>
    </r>
    <r>
      <rPr>
        <b/>
        <u/>
        <sz val="11"/>
        <color theme="1"/>
        <rFont val="Arial Narrow"/>
        <family val="2"/>
      </rPr>
      <t>2020</t>
    </r>
  </si>
  <si>
    <t>PRESIDENTE MUNICIPAL INTERINO</t>
  </si>
  <si>
    <t>L.C. CITLALIN JUDITH VIGIL DE ALBA</t>
  </si>
  <si>
    <t>DR. ROMULO EUGENIO NAVARRETE NOBLE</t>
  </si>
  <si>
    <t>HECTOR TOVAR RODRIGUEZ</t>
  </si>
  <si>
    <t>SÍNDICO MUNICIPAL INTERINO</t>
  </si>
  <si>
    <t>PARTICIPACIONES Y APORTACIONES 2020</t>
  </si>
  <si>
    <t>COMP D33</t>
  </si>
  <si>
    <t>FTGP</t>
  </si>
  <si>
    <t>FEIEF</t>
  </si>
  <si>
    <t>MULTAS POR INGRESOS POR COLABORACIÓN ADMINISTRATIVA</t>
  </si>
  <si>
    <t xml:space="preserve">C.P. ENRIQUE RODRÍGUEZ DIONICIO
</t>
  </si>
  <si>
    <t xml:space="preserve">C. JAIME RAMÍREZ TOVAR
</t>
  </si>
  <si>
    <t>PRESIDENTE MUNICIPAL CONSTITUCIONAL</t>
  </si>
  <si>
    <t xml:space="preserve">LIC. MIRIAM TAIDE ALVARADO FUENTES
</t>
  </si>
  <si>
    <t xml:space="preserve">SÍNDICO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</si>
</sst>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.00_ ;[Red]\-#,##0.00\ "/>
    <numFmt numFmtId="165" formatCode="#,##0.00;[Red]#,##0.00"/>
    <numFmt numFmtId="166" formatCode="&quot;$&quot;#,##0.00"/>
  </numFmts>
  <fonts count="24" x14ac:knownFonts="1">
    <font>
      <sz val="10"/>
      <name val="Arial"/>
    </font>
    <font>
      <b/>
      <sz val="12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10"/>
      <color theme="0"/>
      <name val="Arial Narrow"/>
      <family val="2"/>
    </font>
    <font>
      <sz val="8"/>
      <color theme="0"/>
      <name val="Arial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7" fillId="0" borderId="0" applyFont="0" applyFill="0" applyBorder="0" applyAlignment="0" applyProtection="0"/>
  </cellStyleXfs>
  <cellXfs count="222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5" fillId="2" borderId="0" xfId="1" applyFont="1" applyFill="1" applyAlignment="1"/>
    <xf numFmtId="0" fontId="5" fillId="2" borderId="0" xfId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6" fillId="2" borderId="0" xfId="0" applyFont="1" applyFill="1"/>
    <xf numFmtId="0" fontId="2" fillId="2" borderId="0" xfId="0" applyFont="1" applyFill="1" applyBorder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2" fillId="0" borderId="0" xfId="0" applyFont="1" applyFill="1"/>
    <xf numFmtId="0" fontId="9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/>
    <xf numFmtId="9" fontId="10" fillId="2" borderId="1" xfId="0" applyNumberFormat="1" applyFont="1" applyFill="1" applyBorder="1"/>
    <xf numFmtId="164" fontId="10" fillId="2" borderId="1" xfId="0" applyNumberFormat="1" applyFont="1" applyFill="1" applyBorder="1"/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right"/>
    </xf>
    <xf numFmtId="4" fontId="9" fillId="2" borderId="1" xfId="0" applyNumberFormat="1" applyFont="1" applyFill="1" applyBorder="1"/>
    <xf numFmtId="164" fontId="9" fillId="2" borderId="1" xfId="0" applyNumberFormat="1" applyFont="1" applyFill="1" applyBorder="1"/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9" fontId="2" fillId="2" borderId="1" xfId="0" applyNumberFormat="1" applyFont="1" applyFill="1" applyBorder="1"/>
    <xf numFmtId="0" fontId="7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9" fontId="2" fillId="2" borderId="0" xfId="0" applyNumberFormat="1" applyFont="1" applyFill="1" applyBorder="1"/>
    <xf numFmtId="0" fontId="11" fillId="2" borderId="0" xfId="0" applyFont="1" applyFill="1"/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1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4" fontId="2" fillId="2" borderId="0" xfId="0" applyNumberFormat="1" applyFont="1" applyFill="1" applyBorder="1" applyAlignment="1"/>
    <xf numFmtId="0" fontId="11" fillId="2" borderId="0" xfId="0" applyFont="1" applyFill="1" applyAlignment="1">
      <alignment horizontal="center"/>
    </xf>
    <xf numFmtId="0" fontId="6" fillId="2" borderId="0" xfId="0" applyFont="1" applyFill="1" applyBorder="1"/>
    <xf numFmtId="0" fontId="1" fillId="2" borderId="0" xfId="0" applyFont="1" applyFill="1"/>
    <xf numFmtId="0" fontId="2" fillId="2" borderId="0" xfId="0" applyFont="1" applyFill="1" applyAlignment="1"/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1" applyFont="1" applyFill="1"/>
    <xf numFmtId="9" fontId="9" fillId="2" borderId="1" xfId="0" applyNumberFormat="1" applyFont="1" applyFill="1" applyBorder="1"/>
    <xf numFmtId="4" fontId="10" fillId="0" borderId="1" xfId="0" applyNumberFormat="1" applyFont="1" applyFill="1" applyBorder="1"/>
    <xf numFmtId="4" fontId="9" fillId="0" borderId="1" xfId="0" applyNumberFormat="1" applyFont="1" applyFill="1" applyBorder="1"/>
    <xf numFmtId="164" fontId="10" fillId="0" borderId="1" xfId="0" applyNumberFormat="1" applyFont="1" applyFill="1" applyBorder="1"/>
    <xf numFmtId="164" fontId="9" fillId="0" borderId="1" xfId="0" applyNumberFormat="1" applyFont="1" applyFill="1" applyBorder="1"/>
    <xf numFmtId="4" fontId="9" fillId="4" borderId="1" xfId="0" applyNumberFormat="1" applyFont="1" applyFill="1" applyBorder="1"/>
    <xf numFmtId="4" fontId="2" fillId="2" borderId="0" xfId="0" applyNumberFormat="1" applyFont="1" applyFill="1"/>
    <xf numFmtId="0" fontId="3" fillId="0" borderId="0" xfId="0" applyFont="1" applyFill="1"/>
    <xf numFmtId="0" fontId="5" fillId="0" borderId="0" xfId="1" applyFont="1" applyFill="1" applyAlignment="1">
      <alignment horizontal="center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1" applyFont="1" applyFill="1"/>
    <xf numFmtId="0" fontId="2" fillId="0" borderId="0" xfId="0" applyFont="1" applyFill="1" applyAlignment="1"/>
    <xf numFmtId="4" fontId="1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4" fontId="10" fillId="4" borderId="1" xfId="0" applyNumberFormat="1" applyFont="1" applyFill="1" applyBorder="1"/>
    <xf numFmtId="43" fontId="20" fillId="0" borderId="0" xfId="2" applyFont="1" applyFill="1" applyAlignment="1">
      <alignment vertical="center"/>
    </xf>
    <xf numFmtId="43" fontId="2" fillId="2" borderId="0" xfId="0" applyNumberFormat="1" applyFont="1" applyFill="1"/>
    <xf numFmtId="4" fontId="1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2" fillId="4" borderId="0" xfId="0" applyNumberFormat="1" applyFont="1" applyFill="1"/>
    <xf numFmtId="4" fontId="0" fillId="0" borderId="1" xfId="0" applyNumberFormat="1" applyBorder="1"/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166" fontId="2" fillId="2" borderId="0" xfId="0" applyNumberFormat="1" applyFont="1" applyFill="1"/>
    <xf numFmtId="164" fontId="2" fillId="2" borderId="0" xfId="0" applyNumberFormat="1" applyFont="1" applyFill="1"/>
    <xf numFmtId="4" fontId="6" fillId="2" borderId="0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1" fillId="2" borderId="0" xfId="0" applyFont="1" applyFill="1"/>
    <xf numFmtId="4" fontId="21" fillId="2" borderId="0" xfId="0" applyNumberFormat="1" applyFont="1" applyFill="1"/>
    <xf numFmtId="43" fontId="21" fillId="2" borderId="0" xfId="0" applyNumberFormat="1" applyFont="1" applyFill="1"/>
    <xf numFmtId="43" fontId="22" fillId="0" borderId="0" xfId="2" applyFont="1" applyFill="1" applyAlignment="1">
      <alignment vertical="center"/>
    </xf>
    <xf numFmtId="166" fontId="21" fillId="2" borderId="0" xfId="0" applyNumberFormat="1" applyFont="1" applyFill="1"/>
    <xf numFmtId="164" fontId="21" fillId="2" borderId="0" xfId="0" applyNumberFormat="1" applyFont="1" applyFill="1"/>
    <xf numFmtId="0" fontId="21" fillId="0" borderId="0" xfId="0" applyFont="1" applyFill="1"/>
    <xf numFmtId="4" fontId="21" fillId="0" borderId="0" xfId="0" applyNumberFormat="1" applyFont="1" applyFill="1"/>
    <xf numFmtId="9" fontId="9" fillId="0" borderId="1" xfId="0" applyNumberFormat="1" applyFont="1" applyFill="1" applyBorder="1"/>
    <xf numFmtId="9" fontId="10" fillId="0" borderId="1" xfId="0" applyNumberFormat="1" applyFont="1" applyFill="1" applyBorder="1"/>
    <xf numFmtId="43" fontId="21" fillId="0" borderId="0" xfId="0" applyNumberFormat="1" applyFont="1" applyFill="1"/>
    <xf numFmtId="0" fontId="2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3" fontId="7" fillId="2" borderId="4" xfId="2" applyFont="1" applyFill="1" applyBorder="1" applyAlignment="1">
      <alignment horizontal="center"/>
    </xf>
    <xf numFmtId="43" fontId="7" fillId="2" borderId="5" xfId="2" applyFont="1" applyFill="1" applyBorder="1" applyAlignment="1">
      <alignment horizontal="center"/>
    </xf>
    <xf numFmtId="43" fontId="7" fillId="2" borderId="6" xfId="2" applyFont="1" applyFill="1" applyBorder="1" applyAlignment="1">
      <alignment horizontal="center"/>
    </xf>
    <xf numFmtId="43" fontId="2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5" fillId="2" borderId="0" xfId="1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13" fillId="2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3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285750</xdr:colOff>
      <xdr:row>2</xdr:row>
      <xdr:rowOff>76200</xdr:rowOff>
    </xdr:from>
    <xdr:to>
      <xdr:col>1</xdr:col>
      <xdr:colOff>628650</xdr:colOff>
      <xdr:row>10</xdr:row>
      <xdr:rowOff>19050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400050"/>
          <a:ext cx="2619375" cy="1543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314325</xdr:colOff>
      <xdr:row>2</xdr:row>
      <xdr:rowOff>38100</xdr:rowOff>
    </xdr:from>
    <xdr:to>
      <xdr:col>1</xdr:col>
      <xdr:colOff>657225</xdr:colOff>
      <xdr:row>9</xdr:row>
      <xdr:rowOff>180975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361950"/>
          <a:ext cx="2619375" cy="1543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88040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304800</xdr:colOff>
      <xdr:row>2</xdr:row>
      <xdr:rowOff>66675</xdr:rowOff>
    </xdr:from>
    <xdr:to>
      <xdr:col>0</xdr:col>
      <xdr:colOff>2924175</xdr:colOff>
      <xdr:row>10</xdr:row>
      <xdr:rowOff>9525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390525"/>
          <a:ext cx="2619375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42900"/>
          <a:ext cx="1438275" cy="11967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491490</xdr:colOff>
      <xdr:row>2</xdr:row>
      <xdr:rowOff>28575</xdr:rowOff>
    </xdr:from>
    <xdr:to>
      <xdr:col>11</xdr:col>
      <xdr:colOff>510540</xdr:colOff>
      <xdr:row>3</xdr:row>
      <xdr:rowOff>104775</xdr:rowOff>
    </xdr:to>
    <xdr:sp macro="" textlink="">
      <xdr:nvSpPr>
        <xdr:cNvPr id="2" name="2 Rectángulo redondeado">
          <a:extLst>
            <a:ext uri="{FF2B5EF4-FFF2-40B4-BE49-F238E27FC236}">
              <a16:creationId xmlns="" xmlns:a16="http://schemas.microsoft.com/office/drawing/2014/main" id="{5F651E3E-A5D0-4452-BD0A-6E1E31C41598}"/>
            </a:ext>
          </a:extLst>
        </xdr:cNvPr>
        <xdr:cNvSpPr/>
      </xdr:nvSpPr>
      <xdr:spPr>
        <a:xfrm>
          <a:off x="10902315" y="352425"/>
          <a:ext cx="971550" cy="276225"/>
        </a:xfrm>
        <a:prstGeom prst="round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  <a:p>
          <a:pPr algn="ctr"/>
          <a:r>
            <a:rPr lang="es-MX" sz="1400" b="1">
              <a:ln w="3175">
                <a:noFill/>
              </a:ln>
              <a:latin typeface="Arial Narrow" pitchFamily="34" charset="0"/>
            </a:rPr>
            <a:t>FR-01</a:t>
          </a:r>
        </a:p>
        <a:p>
          <a:pPr algn="ctr"/>
          <a:endParaRPr lang="es-MX" sz="1600" b="1">
            <a:ln w="3175">
              <a:noFill/>
            </a:ln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1304925</xdr:colOff>
      <xdr:row>1</xdr:row>
      <xdr:rowOff>142875</xdr:rowOff>
    </xdr:from>
    <xdr:to>
      <xdr:col>1</xdr:col>
      <xdr:colOff>466725</xdr:colOff>
      <xdr:row>7</xdr:row>
      <xdr:rowOff>177558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304800"/>
          <a:ext cx="1438275" cy="11967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MUNICIPAL/Desktop/SEPT-DIC%202020/TRIMESTRALES/AI%20MENSUAL%203ER%20TRIM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MUNICIPAL/Desktop/SEPT-DIC%202020/TRIMESTRALES/AE%20MENSUAL%204TO%20TRIM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MPLEMENTOS%20FR-01%20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PTIEMRE\RECUPERADOS%20DE%20RED\AE%20X%20CFF%203er%20TRIM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MUNICIPAL/Desktop/SEPT-DIC%202020/TRIMESTRALES/AE%20MENSUAL%203ER%20TRIM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MUNICIPAL/Desktop/SEPT-DIC%202020/TRIMESTRALES/AI%20MENSUAL%204TO%20TRIM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AI%20MENSUAL%204TO%20TRIM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E%20MENSUAL%204TO%20TRIM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 MENSUAL"/>
    </sheetNames>
    <sheetDataSet>
      <sheetData sheetId="0">
        <row r="6">
          <cell r="F6">
            <v>37391748.68</v>
          </cell>
          <cell r="G6">
            <v>18163699.82</v>
          </cell>
          <cell r="H6">
            <v>38888725.030000001</v>
          </cell>
          <cell r="I6">
            <v>16071853.440000001</v>
          </cell>
          <cell r="J6">
            <v>8572917.1099999994</v>
          </cell>
          <cell r="K6">
            <v>11335184.77</v>
          </cell>
          <cell r="L6">
            <v>13763369.85</v>
          </cell>
          <cell r="M6">
            <v>46849723.229999997</v>
          </cell>
          <cell r="N6">
            <v>10221202.469999999</v>
          </cell>
          <cell r="O6">
            <v>9863713.1199999992</v>
          </cell>
        </row>
        <row r="10">
          <cell r="F10">
            <v>26675770</v>
          </cell>
          <cell r="G10">
            <v>6967252.25</v>
          </cell>
          <cell r="H10">
            <v>28575791.23</v>
          </cell>
          <cell r="I10">
            <v>3811926.24</v>
          </cell>
          <cell r="J10">
            <v>673835.11</v>
          </cell>
          <cell r="K10">
            <v>4198284.9400000004</v>
          </cell>
          <cell r="L10">
            <v>1756267.91</v>
          </cell>
          <cell r="M10">
            <v>34157257.829999998</v>
          </cell>
          <cell r="N10">
            <v>1161042.31</v>
          </cell>
          <cell r="O10">
            <v>1668159.04</v>
          </cell>
        </row>
        <row r="30">
          <cell r="F30">
            <v>616989.43000000005</v>
          </cell>
          <cell r="G30">
            <v>367457.06</v>
          </cell>
          <cell r="H30">
            <v>2195593.2999999998</v>
          </cell>
          <cell r="I30">
            <v>1522176.1099999999</v>
          </cell>
          <cell r="J30">
            <v>191282.33000000002</v>
          </cell>
          <cell r="K30">
            <v>296932.43</v>
          </cell>
          <cell r="L30">
            <v>1925600.59</v>
          </cell>
          <cell r="M30">
            <v>1245461.21</v>
          </cell>
          <cell r="N30">
            <v>209429.5</v>
          </cell>
          <cell r="O30">
            <v>294758.56</v>
          </cell>
        </row>
        <row r="35">
          <cell r="F35">
            <v>1092.25</v>
          </cell>
          <cell r="G35">
            <v>647.37</v>
          </cell>
          <cell r="H35">
            <v>1042.6400000000001</v>
          </cell>
          <cell r="I35">
            <v>1292.7</v>
          </cell>
          <cell r="J35">
            <v>1314.85</v>
          </cell>
          <cell r="K35">
            <v>531.25</v>
          </cell>
          <cell r="L35">
            <v>100.35</v>
          </cell>
          <cell r="M35">
            <v>268.39999999999998</v>
          </cell>
          <cell r="N35">
            <v>86.45</v>
          </cell>
          <cell r="O35">
            <v>8.57</v>
          </cell>
        </row>
        <row r="39">
          <cell r="F39">
            <v>1168343</v>
          </cell>
          <cell r="G39">
            <v>802527</v>
          </cell>
          <cell r="H39">
            <v>343413</v>
          </cell>
          <cell r="I39">
            <v>231459.6</v>
          </cell>
          <cell r="J39">
            <v>123452</v>
          </cell>
          <cell r="K39">
            <v>361109</v>
          </cell>
          <cell r="L39">
            <v>411399</v>
          </cell>
          <cell r="M39">
            <v>428936</v>
          </cell>
          <cell r="N39">
            <v>182666</v>
          </cell>
          <cell r="O39">
            <v>267013</v>
          </cell>
        </row>
        <row r="48">
          <cell r="F48">
            <v>1074280.8799999999</v>
          </cell>
          <cell r="G48">
            <v>1430595.04</v>
          </cell>
          <cell r="H48">
            <v>1054198.31</v>
          </cell>
          <cell r="I48">
            <v>1499219.38</v>
          </cell>
          <cell r="J48">
            <v>1092789.27</v>
          </cell>
          <cell r="K48">
            <v>837464.75</v>
          </cell>
          <cell r="L48">
            <v>1221183.8799999999</v>
          </cell>
          <cell r="M48">
            <v>1197513.67</v>
          </cell>
          <cell r="N48">
            <v>1009527.56</v>
          </cell>
          <cell r="O48">
            <v>965495.09</v>
          </cell>
        </row>
        <row r="49">
          <cell r="F49">
            <v>0</v>
          </cell>
          <cell r="G49">
            <v>0.3</v>
          </cell>
          <cell r="H49">
            <v>4.96</v>
          </cell>
          <cell r="I49">
            <v>18.12</v>
          </cell>
          <cell r="J49">
            <v>18.809999999999999</v>
          </cell>
          <cell r="K49">
            <v>36.39</v>
          </cell>
          <cell r="L49">
            <v>41.09</v>
          </cell>
          <cell r="M49">
            <v>27.71</v>
          </cell>
          <cell r="N49">
            <v>21.31</v>
          </cell>
          <cell r="O49">
            <v>20.36</v>
          </cell>
        </row>
        <row r="50">
          <cell r="F50">
            <v>5.21</v>
          </cell>
          <cell r="G50">
            <v>7.24</v>
          </cell>
          <cell r="H50">
            <v>4.2300000000000004</v>
          </cell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</row>
        <row r="52">
          <cell r="F52">
            <v>3082149.75</v>
          </cell>
          <cell r="G52">
            <v>4935943.2</v>
          </cell>
          <cell r="H52">
            <v>2901995.63</v>
          </cell>
          <cell r="I52">
            <v>4852811.28</v>
          </cell>
          <cell r="J52">
            <v>2408449.48</v>
          </cell>
          <cell r="K52">
            <v>1973874.94</v>
          </cell>
          <cell r="L52">
            <v>4338373.33</v>
          </cell>
          <cell r="M52">
            <v>5863327.1699999999</v>
          </cell>
          <cell r="N52">
            <v>3797657.89</v>
          </cell>
          <cell r="O52">
            <v>2047608.06</v>
          </cell>
        </row>
        <row r="53">
          <cell r="F53">
            <v>0</v>
          </cell>
          <cell r="G53">
            <v>38.92</v>
          </cell>
          <cell r="H53">
            <v>39.43</v>
          </cell>
          <cell r="I53">
            <v>188.02</v>
          </cell>
          <cell r="J53">
            <v>207.6</v>
          </cell>
          <cell r="K53">
            <v>252.52</v>
          </cell>
          <cell r="L53">
            <v>207.36</v>
          </cell>
          <cell r="M53">
            <v>199.61</v>
          </cell>
          <cell r="N53">
            <v>194.86</v>
          </cell>
          <cell r="O53">
            <v>77.459999999999994</v>
          </cell>
        </row>
        <row r="54">
          <cell r="F54">
            <v>49.56</v>
          </cell>
          <cell r="G54">
            <v>6.16</v>
          </cell>
          <cell r="H54">
            <v>22.26</v>
          </cell>
          <cell r="I54">
            <v>20.98</v>
          </cell>
          <cell r="J54">
            <v>5.12</v>
          </cell>
          <cell r="K54">
            <v>4.37</v>
          </cell>
          <cell r="L54">
            <v>4.2300000000000004</v>
          </cell>
          <cell r="M54">
            <v>4.37</v>
          </cell>
          <cell r="N54">
            <v>3.81</v>
          </cell>
          <cell r="O54">
            <v>3</v>
          </cell>
        </row>
        <row r="58">
          <cell r="F58">
            <v>131256.59</v>
          </cell>
          <cell r="G58">
            <v>124527.85</v>
          </cell>
          <cell r="H58">
            <v>127880.16</v>
          </cell>
          <cell r="I58">
            <v>121442.02</v>
          </cell>
          <cell r="J58">
            <v>123110.02</v>
          </cell>
          <cell r="K58">
            <v>118518.57</v>
          </cell>
          <cell r="L58">
            <v>96893.2</v>
          </cell>
          <cell r="M58">
            <v>79263.62</v>
          </cell>
          <cell r="N58">
            <v>111253.78</v>
          </cell>
          <cell r="O58">
            <v>94658.42</v>
          </cell>
        </row>
        <row r="59">
          <cell r="F59">
            <v>0</v>
          </cell>
          <cell r="G59">
            <v>0.57999999999999996</v>
          </cell>
          <cell r="H59">
            <v>0.51</v>
          </cell>
          <cell r="I59">
            <v>0.6</v>
          </cell>
          <cell r="J59">
            <v>0.73</v>
          </cell>
          <cell r="K59">
            <v>0.78</v>
          </cell>
          <cell r="L59">
            <v>0.97</v>
          </cell>
          <cell r="M59">
            <v>0.36</v>
          </cell>
          <cell r="N59">
            <v>0.38</v>
          </cell>
          <cell r="O59">
            <v>0.5</v>
          </cell>
        </row>
        <row r="60">
          <cell r="F60">
            <v>0.49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2">
          <cell r="F62">
            <v>87484.73</v>
          </cell>
          <cell r="G62">
            <v>167194.59</v>
          </cell>
          <cell r="H62">
            <v>81555.09</v>
          </cell>
          <cell r="I62">
            <v>76928.44</v>
          </cell>
          <cell r="J62">
            <v>73096.639999999999</v>
          </cell>
          <cell r="K62">
            <v>180.2</v>
          </cell>
          <cell r="L62">
            <v>3027.04</v>
          </cell>
          <cell r="M62">
            <v>58420.55</v>
          </cell>
          <cell r="N62">
            <v>71611.179999999993</v>
          </cell>
          <cell r="O62">
            <v>51849.919999999998</v>
          </cell>
        </row>
        <row r="63">
          <cell r="F63">
            <v>0</v>
          </cell>
          <cell r="G63">
            <v>0.66</v>
          </cell>
          <cell r="H63">
            <v>0.13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0.02</v>
          </cell>
        </row>
        <row r="64">
          <cell r="F64">
            <v>0.2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6">
          <cell r="M66">
            <v>0.03</v>
          </cell>
        </row>
        <row r="67">
          <cell r="F67">
            <v>41304.81</v>
          </cell>
          <cell r="G67">
            <v>40974.32</v>
          </cell>
          <cell r="H67">
            <v>91392.93</v>
          </cell>
          <cell r="I67">
            <v>28255.34</v>
          </cell>
          <cell r="J67">
            <v>78955.34</v>
          </cell>
          <cell r="K67">
            <v>59179.839999999997</v>
          </cell>
          <cell r="L67">
            <v>11991.04</v>
          </cell>
          <cell r="M67">
            <v>85286.96</v>
          </cell>
          <cell r="N67">
            <v>48813.21</v>
          </cell>
          <cell r="O67">
            <v>26530.99</v>
          </cell>
        </row>
        <row r="68">
          <cell r="F68">
            <v>0</v>
          </cell>
          <cell r="G68">
            <v>0.03</v>
          </cell>
          <cell r="H68">
            <v>0.05</v>
          </cell>
          <cell r="I68">
            <v>0.19</v>
          </cell>
          <cell r="J68">
            <v>0.1</v>
          </cell>
          <cell r="K68">
            <v>0.38</v>
          </cell>
          <cell r="L68">
            <v>0.19</v>
          </cell>
          <cell r="M68">
            <v>0.42</v>
          </cell>
          <cell r="N68">
            <v>0.2</v>
          </cell>
          <cell r="O68">
            <v>0.77</v>
          </cell>
        </row>
        <row r="69">
          <cell r="F69">
            <v>0.39</v>
          </cell>
          <cell r="G69">
            <v>0.27</v>
          </cell>
          <cell r="H69">
            <v>0.1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F70">
            <v>7955.8</v>
          </cell>
          <cell r="G70">
            <v>7955.8</v>
          </cell>
          <cell r="H70">
            <v>7955.8</v>
          </cell>
          <cell r="I70">
            <v>7955.8</v>
          </cell>
          <cell r="J70">
            <v>7955.8</v>
          </cell>
          <cell r="K70">
            <v>7955.8</v>
          </cell>
          <cell r="L70">
            <v>7955.8</v>
          </cell>
          <cell r="M70">
            <v>7955.8</v>
          </cell>
          <cell r="N70">
            <v>7955.8</v>
          </cell>
          <cell r="O70">
            <v>7955.8</v>
          </cell>
        </row>
        <row r="71">
          <cell r="F71">
            <v>0</v>
          </cell>
          <cell r="G71">
            <v>0.01</v>
          </cell>
          <cell r="H71">
            <v>0.02</v>
          </cell>
          <cell r="I71">
            <v>0.03</v>
          </cell>
          <cell r="J71">
            <v>0.03</v>
          </cell>
          <cell r="K71">
            <v>0.1</v>
          </cell>
          <cell r="L71">
            <v>0.05</v>
          </cell>
          <cell r="M71">
            <v>0.04</v>
          </cell>
          <cell r="N71">
            <v>0.11</v>
          </cell>
          <cell r="O71">
            <v>0.16</v>
          </cell>
        </row>
        <row r="72">
          <cell r="F72">
            <v>0.02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7">
          <cell r="F77">
            <v>160921.75</v>
          </cell>
          <cell r="G77">
            <v>84845.48</v>
          </cell>
          <cell r="H77">
            <v>84835.73</v>
          </cell>
          <cell r="I77">
            <v>455023.28</v>
          </cell>
          <cell r="J77">
            <v>84835.73</v>
          </cell>
          <cell r="K77">
            <v>83004.289999999994</v>
          </cell>
          <cell r="L77">
            <v>164536.19</v>
          </cell>
          <cell r="M77">
            <v>217128.28</v>
          </cell>
          <cell r="N77">
            <v>84835.73</v>
          </cell>
          <cell r="O77">
            <v>200355.26</v>
          </cell>
        </row>
        <row r="78">
          <cell r="F78">
            <v>0</v>
          </cell>
          <cell r="G78">
            <v>0.66</v>
          </cell>
          <cell r="H78">
            <v>1.25</v>
          </cell>
          <cell r="I78">
            <v>1.9</v>
          </cell>
          <cell r="J78">
            <v>2.5</v>
          </cell>
          <cell r="K78">
            <v>5.71</v>
          </cell>
          <cell r="L78">
            <v>5.36</v>
          </cell>
          <cell r="M78">
            <v>5.68</v>
          </cell>
          <cell r="N78">
            <v>2.93</v>
          </cell>
          <cell r="O78">
            <v>3.56</v>
          </cell>
        </row>
        <row r="79">
          <cell r="F79">
            <v>6.36</v>
          </cell>
          <cell r="G79">
            <v>0.16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</row>
        <row r="89">
          <cell r="F89">
            <v>1295515</v>
          </cell>
          <cell r="G89">
            <v>185310</v>
          </cell>
          <cell r="H89">
            <v>374586</v>
          </cell>
          <cell r="I89">
            <v>414759</v>
          </cell>
          <cell r="J89">
            <v>665215</v>
          </cell>
          <cell r="K89">
            <v>349452</v>
          </cell>
          <cell r="L89">
            <v>736781</v>
          </cell>
          <cell r="M89">
            <v>460261</v>
          </cell>
          <cell r="N89">
            <v>487591</v>
          </cell>
          <cell r="O89">
            <v>0</v>
          </cell>
        </row>
        <row r="90">
          <cell r="F90">
            <v>0</v>
          </cell>
          <cell r="G90">
            <v>4.53</v>
          </cell>
          <cell r="H90">
            <v>21.08</v>
          </cell>
          <cell r="I90">
            <v>24.7</v>
          </cell>
          <cell r="J90">
            <v>29.36</v>
          </cell>
          <cell r="K90">
            <v>20.329999999999998</v>
          </cell>
          <cell r="L90">
            <v>4.17</v>
          </cell>
          <cell r="M90">
            <v>3.53</v>
          </cell>
          <cell r="N90">
            <v>4.16</v>
          </cell>
          <cell r="O90">
            <v>0.42</v>
          </cell>
        </row>
        <row r="91">
          <cell r="F91">
            <v>3.06</v>
          </cell>
          <cell r="G91">
            <v>0.36</v>
          </cell>
          <cell r="H91">
            <v>0.01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40611</v>
          </cell>
          <cell r="M95">
            <v>0</v>
          </cell>
          <cell r="N95">
            <v>0</v>
          </cell>
          <cell r="O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0.01</v>
          </cell>
          <cell r="N96">
            <v>0.35</v>
          </cell>
          <cell r="O96">
            <v>0</v>
          </cell>
        </row>
        <row r="97">
          <cell r="F97">
            <v>0.02</v>
          </cell>
          <cell r="G97">
            <v>0.3</v>
          </cell>
          <cell r="H97">
            <v>0.26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</row>
        <row r="101"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F102">
            <v>3048619.38</v>
          </cell>
          <cell r="G102">
            <v>3048409.6799999997</v>
          </cell>
          <cell r="H102">
            <v>3048390.92</v>
          </cell>
          <cell r="I102">
            <v>3048349.71</v>
          </cell>
          <cell r="J102">
            <v>3048361.29</v>
          </cell>
          <cell r="K102">
            <v>3048376.1799999997</v>
          </cell>
          <cell r="L102">
            <v>3048386.0999999996</v>
          </cell>
          <cell r="M102">
            <v>3048400.9799999995</v>
          </cell>
          <cell r="N102">
            <v>3048503.9499999997</v>
          </cell>
          <cell r="O102">
            <v>3048526.84</v>
          </cell>
        </row>
        <row r="103">
          <cell r="F103">
            <v>256.35000000000002</v>
          </cell>
          <cell r="G103">
            <v>85.19</v>
          </cell>
          <cell r="H103">
            <v>60.73</v>
          </cell>
          <cell r="I103">
            <v>0</v>
          </cell>
          <cell r="J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F104">
            <v>0</v>
          </cell>
          <cell r="G104">
            <v>0.21</v>
          </cell>
          <cell r="H104">
            <v>6.41</v>
          </cell>
          <cell r="I104">
            <v>26.05</v>
          </cell>
          <cell r="J104">
            <v>37.630000000000003</v>
          </cell>
          <cell r="K104">
            <v>52.52</v>
          </cell>
          <cell r="L104">
            <v>62.44</v>
          </cell>
          <cell r="M104">
            <v>77.319999999999993</v>
          </cell>
          <cell r="N104">
            <v>180.29</v>
          </cell>
          <cell r="O104">
            <v>198.69</v>
          </cell>
        </row>
        <row r="105">
          <cell r="F105">
            <v>256.35000000000002</v>
          </cell>
          <cell r="G105">
            <v>85.19</v>
          </cell>
          <cell r="H105">
            <v>60.73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F106">
            <v>39.369999999999997</v>
          </cell>
          <cell r="G106">
            <v>0.62</v>
          </cell>
          <cell r="H106">
            <v>0.12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8">
          <cell r="O108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REPO"/>
      <sheetName val="FGP"/>
      <sheetName val="FORTAMUN"/>
      <sheetName val="FFR"/>
      <sheetName val="FFM"/>
      <sheetName val="IEPS TAB"/>
      <sheetName val="IEPS GAS"/>
      <sheetName val="ISAN"/>
      <sheetName val="CISAN"/>
      <sheetName val="FISM"/>
      <sheetName val="PRODDER"/>
      <sheetName val="PREP"/>
      <sheetName val="ISR"/>
      <sheetName val="FOCOM"/>
      <sheetName val="INM"/>
      <sheetName val="FEIEF"/>
      <sheetName val="FOFIN"/>
    </sheetNames>
    <sheetDataSet>
      <sheetData sheetId="0" refreshError="1">
        <row r="443"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60">
          <cell r="G460">
            <v>4322202.05</v>
          </cell>
          <cell r="H460">
            <v>11234735.76</v>
          </cell>
          <cell r="I460">
            <v>17228807.050000001</v>
          </cell>
          <cell r="J460">
            <v>31863927.359999999</v>
          </cell>
          <cell r="K460">
            <v>32992223.130000003</v>
          </cell>
          <cell r="L460">
            <v>18443845.82</v>
          </cell>
          <cell r="M460">
            <v>40912078.82</v>
          </cell>
          <cell r="N460">
            <v>22384004.800000001</v>
          </cell>
          <cell r="O460">
            <v>8066269.7999999998</v>
          </cell>
          <cell r="P460">
            <v>8754536.5199999996</v>
          </cell>
          <cell r="Q460">
            <v>15999019.460000001</v>
          </cell>
        </row>
      </sheetData>
      <sheetData sheetId="1" refreshError="1"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</row>
        <row r="210">
          <cell r="G210">
            <v>1702575.95</v>
          </cell>
          <cell r="H210">
            <v>6717640.7699999996</v>
          </cell>
          <cell r="I210">
            <v>11742338.140000001</v>
          </cell>
          <cell r="J210">
            <v>25221203.859999999</v>
          </cell>
          <cell r="K210">
            <v>24089622.170000002</v>
          </cell>
          <cell r="L210">
            <v>10235600.530000001</v>
          </cell>
          <cell r="M210">
            <v>31702257.890000001</v>
          </cell>
          <cell r="N210">
            <v>9706672.9299999997</v>
          </cell>
          <cell r="O210">
            <v>1969859.47</v>
          </cell>
          <cell r="P210">
            <v>2223355.7800000003</v>
          </cell>
          <cell r="Q210">
            <v>2719078.47</v>
          </cell>
        </row>
      </sheetData>
      <sheetData sheetId="2" refreshError="1"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</sheetData>
      <sheetData sheetId="3" refreshError="1">
        <row r="33">
          <cell r="G33">
            <v>912011.72</v>
          </cell>
          <cell r="H33">
            <v>1313750.6299999999</v>
          </cell>
          <cell r="I33">
            <v>1933909.5</v>
          </cell>
          <cell r="J33">
            <v>1659386.8599999999</v>
          </cell>
          <cell r="K33">
            <v>2373879.27</v>
          </cell>
          <cell r="L33">
            <v>1680745.34</v>
          </cell>
          <cell r="M33">
            <v>3287695.3599999999</v>
          </cell>
          <cell r="N33">
            <v>2652796.19</v>
          </cell>
          <cell r="O33">
            <v>2548136.7199999997</v>
          </cell>
          <cell r="P33">
            <v>1875023.41</v>
          </cell>
          <cell r="Q33">
            <v>2773504.6</v>
          </cell>
        </row>
      </sheetData>
      <sheetData sheetId="4" refreshError="1">
        <row r="25">
          <cell r="G25">
            <v>16476.29</v>
          </cell>
          <cell r="H25">
            <v>21129.78</v>
          </cell>
          <cell r="I25">
            <v>21129.78</v>
          </cell>
          <cell r="J25">
            <v>40904.74</v>
          </cell>
          <cell r="K25">
            <v>138578.94</v>
          </cell>
          <cell r="L25">
            <v>21129.78</v>
          </cell>
          <cell r="M25">
            <v>586412.12</v>
          </cell>
          <cell r="N25">
            <v>78750.540000000008</v>
          </cell>
          <cell r="O25">
            <v>21129.71</v>
          </cell>
          <cell r="P25">
            <v>22654.7</v>
          </cell>
          <cell r="Q25">
            <v>36289</v>
          </cell>
        </row>
      </sheetData>
      <sheetData sheetId="5" refreshError="1">
        <row r="21">
          <cell r="T21">
            <v>0</v>
          </cell>
          <cell r="U21">
            <v>499999.98</v>
          </cell>
          <cell r="V21">
            <v>0</v>
          </cell>
          <cell r="W21">
            <v>166666.66</v>
          </cell>
          <cell r="X21">
            <v>333333.32</v>
          </cell>
          <cell r="Y21">
            <v>499999.98</v>
          </cell>
          <cell r="Z21">
            <v>499999.98</v>
          </cell>
          <cell r="AA21">
            <v>666666.64</v>
          </cell>
          <cell r="AB21">
            <v>333333.32</v>
          </cell>
          <cell r="AC21">
            <v>333333.32</v>
          </cell>
          <cell r="AD21">
            <v>333333.32</v>
          </cell>
        </row>
      </sheetData>
      <sheetData sheetId="6" refreshError="1">
        <row r="11">
          <cell r="G11">
            <v>0</v>
          </cell>
          <cell r="H11">
            <v>84791.6</v>
          </cell>
          <cell r="I11">
            <v>167053.9</v>
          </cell>
          <cell r="J11">
            <v>55486.97</v>
          </cell>
          <cell r="K11">
            <v>84920.57</v>
          </cell>
          <cell r="L11">
            <v>93959.09</v>
          </cell>
          <cell r="M11">
            <v>0</v>
          </cell>
          <cell r="N11">
            <v>0</v>
          </cell>
          <cell r="O11">
            <v>54250.01</v>
          </cell>
          <cell r="P11">
            <v>63276.26</v>
          </cell>
          <cell r="Q11">
            <v>53705.120000000003</v>
          </cell>
        </row>
      </sheetData>
      <sheetData sheetId="7" refreshError="1">
        <row r="11">
          <cell r="G11">
            <v>0</v>
          </cell>
          <cell r="H11">
            <v>229532.65</v>
          </cell>
          <cell r="I11">
            <v>126305.54</v>
          </cell>
          <cell r="J11">
            <v>27903.06</v>
          </cell>
          <cell r="K11">
            <v>189104.95</v>
          </cell>
          <cell r="L11">
            <v>170797.71</v>
          </cell>
          <cell r="M11">
            <v>54833.68</v>
          </cell>
          <cell r="N11">
            <v>89958.89</v>
          </cell>
          <cell r="O11">
            <v>32673.54</v>
          </cell>
          <cell r="P11">
            <v>144543.12</v>
          </cell>
          <cell r="Q11">
            <v>60000</v>
          </cell>
        </row>
      </sheetData>
      <sheetData sheetId="8" refreshError="1">
        <row r="11">
          <cell r="G11">
            <v>0</v>
          </cell>
          <cell r="H11">
            <v>41093.9</v>
          </cell>
          <cell r="I11">
            <v>41067.01</v>
          </cell>
          <cell r="J11">
            <v>85613.75</v>
          </cell>
          <cell r="K11">
            <v>0</v>
          </cell>
          <cell r="L11">
            <v>112309.62</v>
          </cell>
          <cell r="M11">
            <v>33673.79</v>
          </cell>
          <cell r="N11">
            <v>34233.42</v>
          </cell>
          <cell r="O11">
            <v>0</v>
          </cell>
          <cell r="P11">
            <v>108753.29</v>
          </cell>
          <cell r="Q11">
            <v>50956.14</v>
          </cell>
        </row>
      </sheetData>
      <sheetData sheetId="9" refreshError="1">
        <row r="11">
          <cell r="G11">
            <v>0</v>
          </cell>
          <cell r="H11">
            <v>7944.2</v>
          </cell>
          <cell r="I11">
            <v>13182.03</v>
          </cell>
          <cell r="J11">
            <v>0</v>
          </cell>
          <cell r="K11">
            <v>2248</v>
          </cell>
          <cell r="L11">
            <v>16148.05</v>
          </cell>
          <cell r="M11">
            <v>4609.99</v>
          </cell>
          <cell r="N11">
            <v>0</v>
          </cell>
          <cell r="O11">
            <v>1350</v>
          </cell>
          <cell r="P11">
            <v>0</v>
          </cell>
          <cell r="Q11">
            <v>13849.3</v>
          </cell>
        </row>
      </sheetData>
      <sheetData sheetId="10" refreshError="1"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4837309.67</v>
          </cell>
        </row>
      </sheetData>
      <sheetData sheetId="11" refreshError="1"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81222.64</v>
          </cell>
          <cell r="P12">
            <v>0</v>
          </cell>
          <cell r="Q12">
            <v>0</v>
          </cell>
        </row>
      </sheetData>
      <sheetData sheetId="12" refreshError="1"/>
      <sheetData sheetId="13" refreshError="1"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</sheetData>
      <sheetData sheetId="14" refreshError="1"/>
      <sheetData sheetId="15" refreshError="1"/>
      <sheetData sheetId="16" refreshError="1"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</sheetData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ASIVOS SEP"/>
      <sheetName val="PASIVOS OCT"/>
      <sheetName val="PASIVOS DIC"/>
    </sheetNames>
    <sheetDataSet>
      <sheetData sheetId="0">
        <row r="3">
          <cell r="B3">
            <v>79497.72</v>
          </cell>
          <cell r="C3">
            <v>87740.66</v>
          </cell>
          <cell r="D3">
            <v>110923.28</v>
          </cell>
          <cell r="E3">
            <v>170062.57</v>
          </cell>
          <cell r="F3">
            <v>418150.9</v>
          </cell>
          <cell r="G3">
            <v>157844.43</v>
          </cell>
          <cell r="H3">
            <v>170619.28</v>
          </cell>
          <cell r="I3">
            <v>27527.23</v>
          </cell>
          <cell r="J3">
            <v>21383.78</v>
          </cell>
        </row>
        <row r="4">
          <cell r="B4">
            <v>207470.28</v>
          </cell>
          <cell r="C4">
            <v>252416.05</v>
          </cell>
          <cell r="D4">
            <v>484371.84</v>
          </cell>
          <cell r="E4">
            <v>422749.9</v>
          </cell>
          <cell r="F4">
            <v>452276.87</v>
          </cell>
          <cell r="G4">
            <v>397190.77</v>
          </cell>
          <cell r="H4">
            <v>419485.67</v>
          </cell>
          <cell r="I4">
            <v>710758.25</v>
          </cell>
          <cell r="J4">
            <v>275892.27</v>
          </cell>
        </row>
        <row r="5">
          <cell r="B5">
            <v>91742.3</v>
          </cell>
          <cell r="C5">
            <v>90289.67</v>
          </cell>
          <cell r="D5">
            <v>91925.98</v>
          </cell>
          <cell r="E5">
            <v>104385.72</v>
          </cell>
          <cell r="F5">
            <v>206676.87</v>
          </cell>
          <cell r="G5">
            <v>204294.69</v>
          </cell>
          <cell r="H5">
            <v>137423.97</v>
          </cell>
          <cell r="I5">
            <v>197317.17</v>
          </cell>
          <cell r="J5">
            <v>112476.68</v>
          </cell>
        </row>
        <row r="6">
          <cell r="B6">
            <v>1639.04</v>
          </cell>
          <cell r="C6">
            <v>2039.74</v>
          </cell>
          <cell r="D6">
            <v>2039.74</v>
          </cell>
          <cell r="E6">
            <v>4574.47</v>
          </cell>
          <cell r="F6">
            <v>4488.8999999999996</v>
          </cell>
          <cell r="G6">
            <v>2039.74</v>
          </cell>
          <cell r="H6">
            <v>7358.84</v>
          </cell>
          <cell r="I6">
            <v>9613.5</v>
          </cell>
          <cell r="J6">
            <v>2039.73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20550.98</v>
          </cell>
        </row>
        <row r="8">
          <cell r="D8">
            <v>689260.84</v>
          </cell>
          <cell r="E8">
            <v>701772.65999999992</v>
          </cell>
          <cell r="F8">
            <v>1081593.54</v>
          </cell>
          <cell r="G8">
            <v>761369.62999999989</v>
          </cell>
          <cell r="H8">
            <v>755438.73999999987</v>
          </cell>
          <cell r="I8">
            <v>945216.15</v>
          </cell>
        </row>
        <row r="9">
          <cell r="B9">
            <v>380349.34</v>
          </cell>
          <cell r="C9">
            <v>432486.12</v>
          </cell>
          <cell r="D9">
            <v>689260.84</v>
          </cell>
          <cell r="E9">
            <v>701772.66</v>
          </cell>
          <cell r="F9">
            <v>1081593.54</v>
          </cell>
          <cell r="G9">
            <v>761369.63</v>
          </cell>
          <cell r="H9">
            <v>755438.74</v>
          </cell>
          <cell r="I9">
            <v>945216.15</v>
          </cell>
          <cell r="J9">
            <v>411792.46</v>
          </cell>
        </row>
        <row r="18">
          <cell r="B18">
            <v>20303</v>
          </cell>
          <cell r="C18">
            <v>0</v>
          </cell>
          <cell r="D18">
            <v>0</v>
          </cell>
          <cell r="E18">
            <v>20308</v>
          </cell>
          <cell r="F18">
            <v>0</v>
          </cell>
          <cell r="G18">
            <v>0</v>
          </cell>
          <cell r="H18">
            <v>20311</v>
          </cell>
          <cell r="I18">
            <v>0</v>
          </cell>
        </row>
        <row r="19">
          <cell r="J19">
            <v>0</v>
          </cell>
          <cell r="K19">
            <v>153422.31</v>
          </cell>
          <cell r="L19">
            <v>132606.37</v>
          </cell>
          <cell r="M19">
            <v>0</v>
          </cell>
        </row>
        <row r="28">
          <cell r="B28">
            <v>0</v>
          </cell>
          <cell r="C28">
            <v>0</v>
          </cell>
          <cell r="E28">
            <v>1320636.3999999999</v>
          </cell>
          <cell r="F28">
            <v>1462295.24</v>
          </cell>
          <cell r="G28">
            <v>1166927</v>
          </cell>
          <cell r="H28">
            <v>1291601.24</v>
          </cell>
          <cell r="I28">
            <v>1229601.9300000002</v>
          </cell>
        </row>
        <row r="29">
          <cell r="D29">
            <v>752987</v>
          </cell>
          <cell r="J29">
            <v>751246.38</v>
          </cell>
          <cell r="K29">
            <v>1603040.03</v>
          </cell>
          <cell r="L29">
            <v>1244051.4099999999</v>
          </cell>
          <cell r="M29">
            <v>1159875.43</v>
          </cell>
        </row>
        <row r="39">
          <cell r="B39">
            <v>0</v>
          </cell>
          <cell r="C39">
            <v>251110.1</v>
          </cell>
          <cell r="D39">
            <v>194732.3</v>
          </cell>
          <cell r="E39">
            <v>0</v>
          </cell>
          <cell r="F39">
            <v>269702.34999999998</v>
          </cell>
          <cell r="G39">
            <v>117827.06</v>
          </cell>
          <cell r="H39">
            <v>172138</v>
          </cell>
          <cell r="I39">
            <v>190044.5</v>
          </cell>
        </row>
        <row r="40">
          <cell r="J40">
            <v>0</v>
          </cell>
          <cell r="K40">
            <v>0</v>
          </cell>
          <cell r="M40">
            <v>0</v>
          </cell>
        </row>
        <row r="49">
          <cell r="B49">
            <v>0</v>
          </cell>
          <cell r="C49">
            <v>0</v>
          </cell>
          <cell r="D49">
            <v>23008</v>
          </cell>
          <cell r="E49">
            <v>0</v>
          </cell>
          <cell r="F49">
            <v>34512</v>
          </cell>
          <cell r="G49">
            <v>0</v>
          </cell>
          <cell r="H49">
            <v>11758.01</v>
          </cell>
          <cell r="I49">
            <v>23008</v>
          </cell>
        </row>
        <row r="50">
          <cell r="J50">
            <v>0</v>
          </cell>
          <cell r="K50">
            <v>11504</v>
          </cell>
          <cell r="L50">
            <v>11504</v>
          </cell>
          <cell r="M50">
            <v>0</v>
          </cell>
        </row>
        <row r="59">
          <cell r="B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C60">
            <v>0</v>
          </cell>
          <cell r="J60">
            <v>0</v>
          </cell>
          <cell r="K60">
            <v>0</v>
          </cell>
          <cell r="L60">
            <v>3080</v>
          </cell>
          <cell r="M60">
            <v>0</v>
          </cell>
        </row>
        <row r="69">
          <cell r="B69">
            <v>1518.44</v>
          </cell>
          <cell r="C69">
            <v>1728.4</v>
          </cell>
          <cell r="E69">
            <v>357.28</v>
          </cell>
          <cell r="F69">
            <v>3542.64</v>
          </cell>
          <cell r="G69">
            <v>0</v>
          </cell>
          <cell r="H69">
            <v>15992</v>
          </cell>
          <cell r="I69">
            <v>10528.52</v>
          </cell>
        </row>
        <row r="70">
          <cell r="D70">
            <v>0</v>
          </cell>
          <cell r="J70">
            <v>922.2</v>
          </cell>
          <cell r="K70">
            <v>0</v>
          </cell>
          <cell r="L70">
            <v>219525.73</v>
          </cell>
          <cell r="M70">
            <v>130857.42</v>
          </cell>
        </row>
      </sheetData>
      <sheetData sheetId="1">
        <row r="3">
          <cell r="O3">
            <v>6772.78</v>
          </cell>
        </row>
        <row r="4">
          <cell r="B4">
            <v>102264.25</v>
          </cell>
        </row>
        <row r="6">
          <cell r="B6">
            <v>5953.91</v>
          </cell>
        </row>
        <row r="13">
          <cell r="O13">
            <v>-4755.67</v>
          </cell>
        </row>
        <row r="23">
          <cell r="O23">
            <v>3744661.15</v>
          </cell>
        </row>
        <row r="24">
          <cell r="B24">
            <v>1845848.86</v>
          </cell>
        </row>
        <row r="43">
          <cell r="O43">
            <v>16153.67</v>
          </cell>
        </row>
        <row r="44">
          <cell r="B44">
            <v>444603.58</v>
          </cell>
        </row>
        <row r="45">
          <cell r="B45">
            <v>114742.25</v>
          </cell>
        </row>
        <row r="46">
          <cell r="B46">
            <v>3993.32</v>
          </cell>
        </row>
        <row r="53">
          <cell r="O53">
            <v>-23976.94</v>
          </cell>
        </row>
        <row r="56">
          <cell r="B56">
            <v>-278191.63</v>
          </cell>
        </row>
        <row r="63">
          <cell r="O63">
            <v>-603.24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Hoja1"/>
      <sheetName val="REPO"/>
      <sheetName val="FGP"/>
      <sheetName val="FORTAMUN"/>
      <sheetName val="FFR"/>
      <sheetName val="FFM"/>
      <sheetName val="IEPS TAB"/>
      <sheetName val="IEPS GAS"/>
      <sheetName val="ISAN"/>
      <sheetName val="CISAN"/>
      <sheetName val="FISM"/>
      <sheetName val="PRODDER"/>
      <sheetName val="PREP"/>
      <sheetName val="ISR"/>
      <sheetName val="FOCOM"/>
      <sheetName val="INM"/>
      <sheetName val="FOFIN"/>
    </sheetNames>
    <sheetDataSet>
      <sheetData sheetId="0" refreshError="1"/>
      <sheetData sheetId="1" refreshError="1"/>
      <sheetData sheetId="2" refreshError="1"/>
      <sheetData sheetId="3" refreshError="1">
        <row r="27">
          <cell r="T27">
            <v>1691138.09</v>
          </cell>
        </row>
      </sheetData>
      <sheetData sheetId="4" refreshError="1">
        <row r="31">
          <cell r="T31">
            <v>0</v>
          </cell>
        </row>
      </sheetData>
      <sheetData sheetId="5" refreshError="1">
        <row r="25">
          <cell r="T25">
            <v>16476.29</v>
          </cell>
        </row>
      </sheetData>
      <sheetData sheetId="6" refreshError="1">
        <row r="21">
          <cell r="G21">
            <v>0</v>
          </cell>
        </row>
      </sheetData>
      <sheetData sheetId="7" refreshError="1">
        <row r="11">
          <cell r="G11">
            <v>0</v>
          </cell>
        </row>
      </sheetData>
      <sheetData sheetId="8" refreshError="1">
        <row r="11">
          <cell r="G11">
            <v>0</v>
          </cell>
        </row>
      </sheetData>
      <sheetData sheetId="9" refreshError="1">
        <row r="11">
          <cell r="G11">
            <v>0</v>
          </cell>
        </row>
      </sheetData>
      <sheetData sheetId="10" refreshError="1">
        <row r="11">
          <cell r="G11">
            <v>0</v>
          </cell>
        </row>
      </sheetData>
      <sheetData sheetId="11" refreshError="1">
        <row r="55">
          <cell r="T55">
            <v>0</v>
          </cell>
        </row>
      </sheetData>
      <sheetData sheetId="12" refreshError="1">
        <row r="12">
          <cell r="T12">
            <v>0</v>
          </cell>
        </row>
      </sheetData>
      <sheetData sheetId="13" refreshError="1"/>
      <sheetData sheetId="14" refreshError="1">
        <row r="47">
          <cell r="T47">
            <v>0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REPO"/>
      <sheetName val="FGP"/>
      <sheetName val="FORTAMUN"/>
      <sheetName val="FFR"/>
      <sheetName val="FFM"/>
      <sheetName val="IEPS TAB"/>
      <sheetName val="IEPS GAS"/>
      <sheetName val="ISAN"/>
      <sheetName val="CISAN"/>
      <sheetName val="FISM"/>
      <sheetName val="PRODDER"/>
      <sheetName val="PREP"/>
      <sheetName val="ISR"/>
      <sheetName val="FOCOM"/>
      <sheetName val="INM"/>
      <sheetName val="FOFIN"/>
    </sheetNames>
    <sheetDataSet>
      <sheetData sheetId="0"/>
      <sheetData sheetId="1"/>
      <sheetData sheetId="2">
        <row r="27">
          <cell r="H27">
            <v>1796106.9</v>
          </cell>
          <cell r="I27">
            <v>2204883.5499999998</v>
          </cell>
          <cell r="J27">
            <v>3615794.75</v>
          </cell>
          <cell r="K27">
            <v>3775986.78</v>
          </cell>
          <cell r="L27">
            <v>3553691.12</v>
          </cell>
          <cell r="M27">
            <v>3830844.5599999996</v>
          </cell>
          <cell r="N27">
            <v>6933079.1500000004</v>
          </cell>
        </row>
      </sheetData>
      <sheetData sheetId="3">
        <row r="32">
          <cell r="G32">
            <v>912011.72</v>
          </cell>
          <cell r="H32">
            <v>1313750.6299999999</v>
          </cell>
          <cell r="I32">
            <v>1933909.5</v>
          </cell>
          <cell r="J32">
            <v>1659386.8599999999</v>
          </cell>
          <cell r="K32">
            <v>2373879.27</v>
          </cell>
          <cell r="L32">
            <v>1680745.34</v>
          </cell>
          <cell r="M32">
            <v>3287695.3599999999</v>
          </cell>
          <cell r="N32">
            <v>2652796.19</v>
          </cell>
        </row>
      </sheetData>
      <sheetData sheetId="4">
        <row r="25">
          <cell r="H25">
            <v>21129.78</v>
          </cell>
          <cell r="I25">
            <v>21129.78</v>
          </cell>
          <cell r="J25">
            <v>40904.74</v>
          </cell>
          <cell r="K25">
            <v>138578.94</v>
          </cell>
          <cell r="L25">
            <v>21129.78</v>
          </cell>
          <cell r="M25">
            <v>586412.12</v>
          </cell>
          <cell r="N25">
            <v>78750.540000000008</v>
          </cell>
        </row>
      </sheetData>
      <sheetData sheetId="5">
        <row r="21">
          <cell r="H21">
            <v>1022745.33</v>
          </cell>
          <cell r="I21">
            <v>913309.6</v>
          </cell>
          <cell r="J21">
            <v>739392.37</v>
          </cell>
          <cell r="K21">
            <v>635927.54</v>
          </cell>
          <cell r="L21">
            <v>2000305.25</v>
          </cell>
          <cell r="M21">
            <v>815207.95</v>
          </cell>
          <cell r="N21">
            <v>1915861.75</v>
          </cell>
          <cell r="O21">
            <v>400670.68</v>
          </cell>
        </row>
      </sheetData>
      <sheetData sheetId="6">
        <row r="11">
          <cell r="H11">
            <v>84791.6</v>
          </cell>
          <cell r="I11">
            <v>167053.9</v>
          </cell>
          <cell r="J11">
            <v>55486.97</v>
          </cell>
          <cell r="K11">
            <v>84920.57</v>
          </cell>
          <cell r="L11">
            <v>93959.09</v>
          </cell>
          <cell r="M11">
            <v>0</v>
          </cell>
          <cell r="N11">
            <v>0</v>
          </cell>
          <cell r="O11">
            <v>54250.01</v>
          </cell>
        </row>
      </sheetData>
      <sheetData sheetId="7">
        <row r="11">
          <cell r="H11">
            <v>229532.65</v>
          </cell>
          <cell r="I11">
            <v>126305.54</v>
          </cell>
          <cell r="J11">
            <v>27903.06</v>
          </cell>
          <cell r="K11">
            <v>189104.95</v>
          </cell>
          <cell r="L11">
            <v>170797.71</v>
          </cell>
          <cell r="M11">
            <v>54833.68</v>
          </cell>
          <cell r="N11">
            <v>89958.89</v>
          </cell>
          <cell r="O11">
            <v>32673.54</v>
          </cell>
        </row>
      </sheetData>
      <sheetData sheetId="8">
        <row r="11">
          <cell r="H11">
            <v>41093.9</v>
          </cell>
          <cell r="I11">
            <v>41067.01</v>
          </cell>
          <cell r="J11">
            <v>85613.75</v>
          </cell>
          <cell r="K11">
            <v>0</v>
          </cell>
          <cell r="L11">
            <v>112309.62</v>
          </cell>
          <cell r="M11">
            <v>33673.79</v>
          </cell>
          <cell r="N11">
            <v>34233.42</v>
          </cell>
          <cell r="O11">
            <v>0</v>
          </cell>
        </row>
      </sheetData>
      <sheetData sheetId="9">
        <row r="11">
          <cell r="H11">
            <v>7944.2</v>
          </cell>
          <cell r="I11">
            <v>13182.03</v>
          </cell>
          <cell r="J11">
            <v>0</v>
          </cell>
          <cell r="K11">
            <v>2248</v>
          </cell>
          <cell r="L11">
            <v>16148.05</v>
          </cell>
          <cell r="M11">
            <v>4609.99</v>
          </cell>
          <cell r="N11">
            <v>0</v>
          </cell>
          <cell r="O11">
            <v>1350</v>
          </cell>
        </row>
      </sheetData>
      <sheetData sheetId="10">
        <row r="55"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</sheetData>
      <sheetData sheetId="11">
        <row r="12">
          <cell r="M12">
            <v>0</v>
          </cell>
          <cell r="N12">
            <v>0</v>
          </cell>
          <cell r="O12">
            <v>81222.64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</row>
      </sheetData>
      <sheetData sheetId="12"/>
      <sheetData sheetId="13">
        <row r="47">
          <cell r="H47">
            <v>0</v>
          </cell>
          <cell r="I47">
            <v>65628</v>
          </cell>
          <cell r="J47">
            <v>418241</v>
          </cell>
          <cell r="K47">
            <v>1701954.9100000001</v>
          </cell>
          <cell r="L47">
            <v>559159.32999999996</v>
          </cell>
          <cell r="M47">
            <v>596543.48</v>
          </cell>
          <cell r="N47">
            <v>972651.93</v>
          </cell>
          <cell r="O47">
            <v>141998.37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 MENSUAL"/>
    </sheetNames>
    <sheetDataSet>
      <sheetData sheetId="0">
        <row r="10">
          <cell r="AC10">
            <v>2481881.8600000003</v>
          </cell>
        </row>
        <row r="30">
          <cell r="P30">
            <v>494991.1</v>
          </cell>
        </row>
        <row r="35">
          <cell r="P35">
            <v>22.58</v>
          </cell>
        </row>
        <row r="39">
          <cell r="P39">
            <v>412215</v>
          </cell>
        </row>
        <row r="48">
          <cell r="P48">
            <v>1084593.96</v>
          </cell>
        </row>
        <row r="49">
          <cell r="P49">
            <v>25.73</v>
          </cell>
        </row>
        <row r="52">
          <cell r="P52">
            <v>3045427.47</v>
          </cell>
        </row>
        <row r="53">
          <cell r="P53">
            <v>95.83</v>
          </cell>
        </row>
        <row r="58">
          <cell r="P58">
            <v>97019.06</v>
          </cell>
        </row>
        <row r="59">
          <cell r="P59">
            <v>0.82</v>
          </cell>
        </row>
        <row r="62">
          <cell r="P62">
            <v>66183.259999999995</v>
          </cell>
        </row>
        <row r="63">
          <cell r="P63">
            <v>0.42</v>
          </cell>
        </row>
        <row r="67">
          <cell r="P67">
            <v>28800.91</v>
          </cell>
        </row>
        <row r="68">
          <cell r="P68">
            <v>0.36</v>
          </cell>
        </row>
        <row r="70">
          <cell r="P70">
            <v>7955.8</v>
          </cell>
        </row>
        <row r="71">
          <cell r="P71">
            <v>0.24</v>
          </cell>
        </row>
        <row r="77">
          <cell r="P77">
            <v>84835.73</v>
          </cell>
        </row>
        <row r="78">
          <cell r="P78">
            <v>4.22</v>
          </cell>
        </row>
        <row r="89">
          <cell r="P89">
            <v>47020</v>
          </cell>
        </row>
        <row r="90">
          <cell r="P90">
            <v>4.42</v>
          </cell>
        </row>
        <row r="95">
          <cell r="P95">
            <v>0</v>
          </cell>
        </row>
        <row r="96">
          <cell r="P96">
            <v>0</v>
          </cell>
        </row>
        <row r="101">
          <cell r="P101">
            <v>0</v>
          </cell>
        </row>
        <row r="102">
          <cell r="P102">
            <v>2304364.96</v>
          </cell>
        </row>
        <row r="104">
          <cell r="P104">
            <v>211.93</v>
          </cell>
        </row>
        <row r="105">
          <cell r="P105">
            <v>0</v>
          </cell>
        </row>
        <row r="133">
          <cell r="O133">
            <v>0</v>
          </cell>
          <cell r="P133">
            <v>0</v>
          </cell>
        </row>
        <row r="134">
          <cell r="P134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 MENSUAL"/>
    </sheetNames>
    <sheetDataSet>
      <sheetData sheetId="0">
        <row r="10">
          <cell r="Q10">
            <v>2430326.2799999998</v>
          </cell>
        </row>
        <row r="30">
          <cell r="Q30">
            <v>306217.75</v>
          </cell>
        </row>
        <row r="35">
          <cell r="Q35">
            <v>37.729999999999997</v>
          </cell>
        </row>
        <row r="39">
          <cell r="Q39">
            <v>216338</v>
          </cell>
        </row>
        <row r="48">
          <cell r="E48">
            <v>13518356.76</v>
          </cell>
        </row>
        <row r="49">
          <cell r="Q49">
            <v>16.690000000000001</v>
          </cell>
        </row>
        <row r="52">
          <cell r="Q52">
            <v>2987944.24</v>
          </cell>
        </row>
        <row r="53">
          <cell r="Q53">
            <v>45.21</v>
          </cell>
        </row>
        <row r="58">
          <cell r="Q58">
            <v>118311.39</v>
          </cell>
        </row>
        <row r="59">
          <cell r="Q59">
            <v>0.79</v>
          </cell>
        </row>
        <row r="62">
          <cell r="Q62">
            <v>65143.13</v>
          </cell>
        </row>
        <row r="63">
          <cell r="Q63">
            <v>0.35</v>
          </cell>
        </row>
        <row r="67">
          <cell r="Q67">
            <v>32235.279999999999</v>
          </cell>
        </row>
        <row r="68">
          <cell r="Q68">
            <v>0.16</v>
          </cell>
        </row>
        <row r="70">
          <cell r="Q70">
            <v>7995.8</v>
          </cell>
        </row>
        <row r="71">
          <cell r="Q71">
            <v>0.16</v>
          </cell>
        </row>
        <row r="77">
          <cell r="Q77">
            <v>84974.57</v>
          </cell>
        </row>
        <row r="78">
          <cell r="Q78">
            <v>5.0199999999999996</v>
          </cell>
        </row>
        <row r="89">
          <cell r="Q89">
            <v>1738299.36</v>
          </cell>
        </row>
        <row r="90">
          <cell r="Q90">
            <v>4.5199999999999996</v>
          </cell>
        </row>
        <row r="95">
          <cell r="Q95">
            <v>38312</v>
          </cell>
        </row>
        <row r="96">
          <cell r="Q96">
            <v>0</v>
          </cell>
        </row>
        <row r="99">
          <cell r="Q99">
            <v>881.41</v>
          </cell>
        </row>
        <row r="103">
          <cell r="E103">
            <v>7442074.0000000019</v>
          </cell>
        </row>
        <row r="104">
          <cell r="E104">
            <v>899.97</v>
          </cell>
        </row>
        <row r="106">
          <cell r="E106">
            <v>27649395.11999999</v>
          </cell>
        </row>
        <row r="107">
          <cell r="E107">
            <v>64.930000000000007</v>
          </cell>
        </row>
        <row r="135">
          <cell r="E135">
            <v>3893231.64</v>
          </cell>
        </row>
        <row r="136">
          <cell r="E136">
            <v>29.61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REPO"/>
      <sheetName val="FGP"/>
      <sheetName val="FORTAMUN"/>
      <sheetName val="FFR"/>
      <sheetName val="FFM"/>
      <sheetName val="IEPS TAB"/>
      <sheetName val="IEPS GAS"/>
      <sheetName val="ISAN"/>
      <sheetName val="CISAN"/>
      <sheetName val="FISM"/>
      <sheetName val="PRODDER"/>
      <sheetName val="PREP"/>
      <sheetName val="ISR"/>
      <sheetName val="FOCOM"/>
      <sheetName val="INM"/>
      <sheetName val="FEIEF"/>
      <sheetName val="FOFIN"/>
    </sheetNames>
    <sheetDataSet>
      <sheetData sheetId="0">
        <row r="230">
          <cell r="F230">
            <v>41625982.609999999</v>
          </cell>
        </row>
        <row r="293">
          <cell r="F293">
            <v>12416485.15</v>
          </cell>
        </row>
        <row r="416">
          <cell r="F416">
            <v>5625832.1999999993</v>
          </cell>
        </row>
        <row r="465">
          <cell r="F465">
            <v>2351767.84</v>
          </cell>
        </row>
      </sheetData>
      <sheetData sheetId="1">
        <row r="210">
          <cell r="R210">
            <v>4319044.0100000007</v>
          </cell>
        </row>
      </sheetData>
      <sheetData sheetId="2"/>
      <sheetData sheetId="3">
        <row r="33">
          <cell r="R33">
            <v>3193144.21</v>
          </cell>
        </row>
      </sheetData>
      <sheetData sheetId="4">
        <row r="25">
          <cell r="R25">
            <v>73520.239999999991</v>
          </cell>
        </row>
      </sheetData>
      <sheetData sheetId="5"/>
      <sheetData sheetId="6">
        <row r="11">
          <cell r="R11">
            <v>97601.75</v>
          </cell>
        </row>
      </sheetData>
      <sheetData sheetId="7">
        <row r="11">
          <cell r="R11">
            <v>118009.09</v>
          </cell>
        </row>
      </sheetData>
      <sheetData sheetId="8">
        <row r="11">
          <cell r="R11">
            <v>0</v>
          </cell>
        </row>
      </sheetData>
      <sheetData sheetId="9">
        <row r="11">
          <cell r="R11">
            <v>0</v>
          </cell>
        </row>
      </sheetData>
      <sheetData sheetId="10">
        <row r="55">
          <cell r="R55">
            <v>2604764.33</v>
          </cell>
        </row>
      </sheetData>
      <sheetData sheetId="11">
        <row r="12">
          <cell r="R12">
            <v>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41" activePane="bottomLeft" state="frozen"/>
      <selection pane="bottomLeft" activeCell="E22" sqref="E2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3"/>
      <c r="B6" s="3"/>
      <c r="C6" s="3"/>
      <c r="D6" s="3"/>
      <c r="E6" s="3"/>
      <c r="F6" s="3"/>
      <c r="G6" s="7"/>
      <c r="H6" s="3"/>
      <c r="I6" s="3"/>
      <c r="J6" s="3"/>
      <c r="K6" s="3"/>
      <c r="L6" s="3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5"/>
      <c r="B8" s="5"/>
      <c r="C8" s="5"/>
      <c r="D8" s="5"/>
      <c r="E8" s="5"/>
      <c r="F8" s="5"/>
      <c r="G8" s="58"/>
      <c r="H8" s="5"/>
      <c r="I8" s="5"/>
      <c r="J8" s="5"/>
      <c r="K8" s="5"/>
      <c r="L8" s="5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3"/>
      <c r="E9" s="3"/>
      <c r="F9" s="3"/>
      <c r="G9" s="7"/>
      <c r="H9" s="3"/>
      <c r="I9" s="3"/>
      <c r="J9" s="3"/>
      <c r="K9" s="3"/>
      <c r="L9" s="3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0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11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28462194.68</v>
      </c>
      <c r="D14" s="55">
        <f>SUM(D15:D20)</f>
        <v>1092.25</v>
      </c>
      <c r="E14" s="19">
        <f>SUM(E15:E20)</f>
        <v>0</v>
      </c>
      <c r="F14" s="50">
        <f>E14/C14</f>
        <v>0</v>
      </c>
      <c r="G14" s="54">
        <f>C14-E14</f>
        <v>28462194.68</v>
      </c>
      <c r="H14" s="19">
        <f>SUM(H15:H20)</f>
        <v>26813937.039999999</v>
      </c>
      <c r="I14" s="19">
        <f>SUM(I15:I20)</f>
        <v>0</v>
      </c>
      <c r="J14" s="19">
        <f>SUM(J15:J20)</f>
        <v>79497.72</v>
      </c>
      <c r="K14" s="20">
        <f>+H14+I14-J14</f>
        <v>26734439.32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</f>
        <v>26675770</v>
      </c>
      <c r="D15" s="51">
        <v>0</v>
      </c>
      <c r="E15" s="51">
        <f>[2]REPO!$G$206</f>
        <v>0</v>
      </c>
      <c r="F15" s="15">
        <f>E15/C15</f>
        <v>0</v>
      </c>
      <c r="G15" s="53">
        <f t="shared" ref="G15:G20" si="0">C15-E15</f>
        <v>26675770</v>
      </c>
      <c r="H15" s="16">
        <v>26813937.039999999</v>
      </c>
      <c r="I15" s="16">
        <v>0</v>
      </c>
      <c r="J15" s="16">
        <f>[3]Hoja1!$B$3</f>
        <v>79497.72</v>
      </c>
      <c r="K15" s="16">
        <f t="shared" ref="K15:K32" si="1">+H15+I15-J15</f>
        <v>26734439.32</v>
      </c>
      <c r="L15" s="15">
        <f t="shared" ref="L15:L29" si="2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</f>
        <v>616989.43000000005</v>
      </c>
      <c r="D16" s="14">
        <v>0</v>
      </c>
      <c r="E16" s="14">
        <v>0</v>
      </c>
      <c r="F16" s="15">
        <f t="shared" ref="F16:F18" si="3">E16/C16</f>
        <v>0</v>
      </c>
      <c r="G16" s="53">
        <f>C16-E16</f>
        <v>616989.43000000005</v>
      </c>
      <c r="H16" s="16">
        <v>0</v>
      </c>
      <c r="I16" s="16">
        <v>0</v>
      </c>
      <c r="J16" s="16">
        <v>0</v>
      </c>
      <c r="K16" s="16">
        <f t="shared" si="1"/>
        <v>0</v>
      </c>
      <c r="L16" s="15">
        <f t="shared" si="2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</f>
        <v>1168343</v>
      </c>
      <c r="D17" s="14">
        <v>0</v>
      </c>
      <c r="E17" s="14">
        <v>0</v>
      </c>
      <c r="F17" s="15">
        <f t="shared" si="3"/>
        <v>0</v>
      </c>
      <c r="G17" s="53">
        <f t="shared" si="0"/>
        <v>1168343</v>
      </c>
      <c r="H17" s="16">
        <v>0</v>
      </c>
      <c r="I17" s="16">
        <v>0</v>
      </c>
      <c r="J17" s="16">
        <v>0</v>
      </c>
      <c r="K17" s="16">
        <f t="shared" si="1"/>
        <v>0</v>
      </c>
      <c r="L17" s="15">
        <f t="shared" si="2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</f>
        <v>1092.25</v>
      </c>
      <c r="D18" s="51">
        <f>'[1]AI MENSUAL'!$F$35</f>
        <v>1092.25</v>
      </c>
      <c r="E18" s="14">
        <v>0</v>
      </c>
      <c r="F18" s="15">
        <f t="shared" si="3"/>
        <v>0</v>
      </c>
      <c r="G18" s="53">
        <f t="shared" si="0"/>
        <v>1092.25</v>
      </c>
      <c r="H18" s="16">
        <v>0</v>
      </c>
      <c r="I18" s="16">
        <v>0</v>
      </c>
      <c r="J18" s="16">
        <v>0</v>
      </c>
      <c r="K18" s="16">
        <f t="shared" si="1"/>
        <v>0</v>
      </c>
      <c r="L18" s="15">
        <f t="shared" si="2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0"/>
        <v>0</v>
      </c>
      <c r="H19" s="16">
        <v>0</v>
      </c>
      <c r="I19" s="16">
        <v>0</v>
      </c>
      <c r="J19" s="16">
        <v>0</v>
      </c>
      <c r="K19" s="16">
        <f t="shared" si="1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0"/>
        <v>0</v>
      </c>
      <c r="H20" s="16">
        <v>0</v>
      </c>
      <c r="I20" s="16">
        <v>0</v>
      </c>
      <c r="J20" s="16">
        <v>0</v>
      </c>
      <c r="K20" s="16">
        <f t="shared" si="1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8929192.9699999988</v>
      </c>
      <c r="D21" s="52">
        <f>SUM(D22:D32)</f>
        <v>0</v>
      </c>
      <c r="E21" s="19">
        <f>SUM(E22:E32)</f>
        <v>2619626.1</v>
      </c>
      <c r="F21" s="50">
        <f>E21/C21</f>
        <v>0.29337770040375782</v>
      </c>
      <c r="G21" s="54">
        <f>C21-E21</f>
        <v>6309566.8699999992</v>
      </c>
      <c r="H21" s="19">
        <f>SUM(H22:H32)</f>
        <v>6610418.4899999993</v>
      </c>
      <c r="I21" s="19">
        <f t="shared" ref="I21:K21" si="4">SUM(I22:I32)</f>
        <v>0</v>
      </c>
      <c r="J21" s="19">
        <f>SUM(J22:J32)</f>
        <v>300851.62</v>
      </c>
      <c r="K21" s="19">
        <f t="shared" si="4"/>
        <v>6309566.8699999992</v>
      </c>
      <c r="L21" s="50">
        <f>E21/B21</f>
        <v>3.3244263638648151E-2</v>
      </c>
      <c r="M21" s="1">
        <v>33424355.530000001</v>
      </c>
      <c r="N21" s="56">
        <f>M21-H21</f>
        <v>26813937.040000003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</f>
        <v>3082149.75</v>
      </c>
      <c r="D22" s="51">
        <f>'[1]AI MENSUAL'!$F$53</f>
        <v>0</v>
      </c>
      <c r="E22" s="14">
        <f>[4]FGP!$T$27</f>
        <v>1691138.09</v>
      </c>
      <c r="F22" s="15">
        <f>E22/C22</f>
        <v>0.54868784036207197</v>
      </c>
      <c r="G22" s="53">
        <f>C22-E22</f>
        <v>1391011.66</v>
      </c>
      <c r="H22" s="16">
        <v>1598481.94</v>
      </c>
      <c r="I22" s="16">
        <v>0</v>
      </c>
      <c r="J22" s="16">
        <f>[3]Hoja1!$B$4</f>
        <v>207470.28</v>
      </c>
      <c r="K22" s="16">
        <f>+H22+I22-J22</f>
        <v>1391011.66</v>
      </c>
      <c r="L22" s="15">
        <f>E22/B22</f>
        <v>5.8873776053739744E-2</v>
      </c>
      <c r="M22" s="102">
        <v>432486.12</v>
      </c>
      <c r="N22" s="56">
        <f>M22-J21</f>
        <v>131634.5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</f>
        <v>744207.4</v>
      </c>
      <c r="D23" s="51">
        <f>'[1]AI MENSUAL'!$F$102</f>
        <v>0</v>
      </c>
      <c r="E23" s="14">
        <f>[4]FISM!$T$55</f>
        <v>0</v>
      </c>
      <c r="F23" s="15">
        <f t="shared" ref="F23:F29" si="5">E23/C23</f>
        <v>0</v>
      </c>
      <c r="G23" s="53">
        <f t="shared" ref="G23:G31" si="6">C23-E23</f>
        <v>744207.4</v>
      </c>
      <c r="H23" s="16">
        <v>744207.4</v>
      </c>
      <c r="I23" s="16">
        <v>0</v>
      </c>
      <c r="J23" s="16">
        <v>0</v>
      </c>
      <c r="K23" s="16">
        <f t="shared" si="1"/>
        <v>744207.4</v>
      </c>
      <c r="L23" s="15">
        <f t="shared" si="2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</f>
        <v>2304116.2599999998</v>
      </c>
      <c r="D24" s="51">
        <f>'[1]AI MENSUAL'!$F$105</f>
        <v>0</v>
      </c>
      <c r="E24" s="14">
        <f>[4]FORTAMUN!$T$31</f>
        <v>912011.72</v>
      </c>
      <c r="F24" s="15">
        <f t="shared" si="5"/>
        <v>0.3958184471125602</v>
      </c>
      <c r="G24" s="53">
        <f>C24-E24</f>
        <v>1392104.5399999998</v>
      </c>
      <c r="H24" s="16">
        <v>1483846.84</v>
      </c>
      <c r="I24" s="16">
        <v>0</v>
      </c>
      <c r="J24" s="16">
        <f>[3]Hoja1!$B$5</f>
        <v>91742.3</v>
      </c>
      <c r="K24" s="16">
        <f t="shared" si="1"/>
        <v>1392104.54</v>
      </c>
      <c r="L24" s="15">
        <f t="shared" si="2"/>
        <v>3.4059518243268479E-2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</f>
        <v>160921.75</v>
      </c>
      <c r="D25" s="51">
        <f>'[1]AI MENSUAL'!$F$78</f>
        <v>0</v>
      </c>
      <c r="E25" s="14">
        <f>[4]FFR!$T$25</f>
        <v>16476.29</v>
      </c>
      <c r="F25" s="15">
        <f t="shared" si="5"/>
        <v>0.10238696757896307</v>
      </c>
      <c r="G25" s="53">
        <f t="shared" si="6"/>
        <v>144445.46</v>
      </c>
      <c r="H25" s="16">
        <v>146084.5</v>
      </c>
      <c r="I25" s="16">
        <v>0</v>
      </c>
      <c r="J25" s="16">
        <f>[3]Hoja1!$B$6</f>
        <v>1639.04</v>
      </c>
      <c r="K25" s="16">
        <f t="shared" si="1"/>
        <v>144445.46</v>
      </c>
      <c r="L25" s="15">
        <f t="shared" si="2"/>
        <v>1.41811185121621E-2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</f>
        <v>1074280.8799999999</v>
      </c>
      <c r="D26" s="51">
        <f>'[1]AI MENSUAL'!$F$49</f>
        <v>0</v>
      </c>
      <c r="E26" s="14">
        <f>[4]FFM!$G$21</f>
        <v>0</v>
      </c>
      <c r="F26" s="15">
        <f t="shared" si="5"/>
        <v>0</v>
      </c>
      <c r="G26" s="53">
        <f t="shared" si="6"/>
        <v>1074280.8799999999</v>
      </c>
      <c r="H26" s="16">
        <v>1074280.8799999999</v>
      </c>
      <c r="I26" s="16">
        <v>0</v>
      </c>
      <c r="J26" s="16">
        <v>0</v>
      </c>
      <c r="K26" s="16">
        <f t="shared" si="1"/>
        <v>1074280.8799999999</v>
      </c>
      <c r="L26" s="15">
        <f t="shared" si="2"/>
        <v>0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</f>
        <v>87484.73</v>
      </c>
      <c r="D27" s="51">
        <f>'[1]AI MENSUAL'!$F$63</f>
        <v>0</v>
      </c>
      <c r="E27" s="14">
        <f>'[4]IEPS TAB'!$G$11</f>
        <v>0</v>
      </c>
      <c r="F27" s="15">
        <f t="shared" si="5"/>
        <v>0</v>
      </c>
      <c r="G27" s="53">
        <f t="shared" si="6"/>
        <v>87484.73</v>
      </c>
      <c r="H27" s="16">
        <v>87484.73</v>
      </c>
      <c r="I27" s="16">
        <v>0</v>
      </c>
      <c r="J27" s="16">
        <v>0</v>
      </c>
      <c r="K27" s="16">
        <f t="shared" si="1"/>
        <v>87484.73</v>
      </c>
      <c r="L27" s="15">
        <f t="shared" si="2"/>
        <v>0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</f>
        <v>131256.59</v>
      </c>
      <c r="D28" s="51">
        <f>'[1]AI MENSUAL'!$F$59</f>
        <v>0</v>
      </c>
      <c r="E28" s="14">
        <f>'[4]IEPS GAS'!$G$11</f>
        <v>0</v>
      </c>
      <c r="F28" s="15">
        <f t="shared" si="5"/>
        <v>0</v>
      </c>
      <c r="G28" s="53">
        <f t="shared" si="6"/>
        <v>131256.59</v>
      </c>
      <c r="H28" s="16">
        <v>131256.59</v>
      </c>
      <c r="I28" s="16">
        <v>0</v>
      </c>
      <c r="J28" s="16">
        <v>0</v>
      </c>
      <c r="K28" s="16">
        <f t="shared" si="1"/>
        <v>131256.59</v>
      </c>
      <c r="L28" s="15">
        <f t="shared" si="2"/>
        <v>0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</f>
        <v>7955.8</v>
      </c>
      <c r="D29" s="51">
        <f>'[1]AI MENSUAL'!$F$71</f>
        <v>0</v>
      </c>
      <c r="E29" s="14">
        <f>[4]CISAN!$G$11</f>
        <v>0</v>
      </c>
      <c r="F29" s="15">
        <f t="shared" si="5"/>
        <v>0</v>
      </c>
      <c r="G29" s="53">
        <f t="shared" si="6"/>
        <v>7955.8</v>
      </c>
      <c r="H29" s="16">
        <v>7955.8</v>
      </c>
      <c r="I29" s="16">
        <v>0</v>
      </c>
      <c r="J29" s="16">
        <v>0</v>
      </c>
      <c r="K29" s="16">
        <f t="shared" si="1"/>
        <v>7955.8</v>
      </c>
      <c r="L29" s="15">
        <f t="shared" si="2"/>
        <v>0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</f>
        <v>41304.81</v>
      </c>
      <c r="D30" s="51">
        <f>'[1]AI MENSUAL'!$F$68</f>
        <v>0</v>
      </c>
      <c r="E30" s="14">
        <f>[4]ISAN!$G$11</f>
        <v>0</v>
      </c>
      <c r="F30" s="15">
        <f>E30/C30</f>
        <v>0</v>
      </c>
      <c r="G30" s="53">
        <f>C30-E30</f>
        <v>41304.81</v>
      </c>
      <c r="H30" s="16">
        <v>41304.81</v>
      </c>
      <c r="I30" s="16">
        <v>0</v>
      </c>
      <c r="J30" s="16">
        <v>0</v>
      </c>
      <c r="K30" s="16">
        <f t="shared" si="1"/>
        <v>41304.81</v>
      </c>
      <c r="L30" s="15">
        <f>E30/B30</f>
        <v>0</v>
      </c>
    </row>
    <row r="31" spans="1:14" ht="15.75" customHeight="1" x14ac:dyDescent="0.25">
      <c r="A31" s="17" t="s">
        <v>95</v>
      </c>
      <c r="B31" s="78">
        <v>0</v>
      </c>
      <c r="C31" s="51">
        <f>'[1]AI MENSUAL'!$F$95</f>
        <v>0</v>
      </c>
      <c r="D31" s="51">
        <f>'[1]AI MENSUAL'!$F$96</f>
        <v>0</v>
      </c>
      <c r="E31" s="14">
        <f>[4]PRODDER!$T$12</f>
        <v>0</v>
      </c>
      <c r="F31" s="15">
        <v>0</v>
      </c>
      <c r="G31" s="53">
        <f t="shared" si="6"/>
        <v>0</v>
      </c>
      <c r="H31" s="16">
        <v>0</v>
      </c>
      <c r="I31" s="16">
        <v>0</v>
      </c>
      <c r="J31" s="16">
        <v>0</v>
      </c>
      <c r="K31" s="16">
        <f t="shared" si="1"/>
        <v>0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</f>
        <v>1295515</v>
      </c>
      <c r="D32" s="51">
        <f>'[1]AI MENSUAL'!$F$90</f>
        <v>0</v>
      </c>
      <c r="E32" s="14">
        <f>[4]ISR!$T$47</f>
        <v>0</v>
      </c>
      <c r="F32" s="15">
        <f>E32/C32</f>
        <v>0</v>
      </c>
      <c r="G32" s="53">
        <f>C32-E32</f>
        <v>1295515</v>
      </c>
      <c r="H32" s="16">
        <v>1295515</v>
      </c>
      <c r="I32" s="16">
        <v>0</v>
      </c>
      <c r="J32" s="16">
        <v>0</v>
      </c>
      <c r="K32" s="16">
        <f t="shared" si="1"/>
        <v>1295515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361.03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15876005.640000001</v>
      </c>
      <c r="I33" s="19">
        <f>SUM(I34:I46)</f>
        <v>0</v>
      </c>
      <c r="J33" s="19">
        <f>SUM(J34:J46)</f>
        <v>0</v>
      </c>
      <c r="K33" s="19">
        <f>SUM(K34:K46)</f>
        <v>15876005.640000001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8681025.3800000008</v>
      </c>
      <c r="I34" s="16">
        <v>0</v>
      </c>
      <c r="J34" s="16">
        <v>0</v>
      </c>
      <c r="K34" s="16">
        <f>+H34+I34-J34</f>
        <v>8681025.3800000008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</f>
        <v>49.56</v>
      </c>
      <c r="E35" s="14">
        <v>0</v>
      </c>
      <c r="F35" s="15">
        <v>0</v>
      </c>
      <c r="G35" s="53">
        <f>C35-E35</f>
        <v>0</v>
      </c>
      <c r="H35" s="16">
        <v>1565699.6</v>
      </c>
      <c r="I35" s="16">
        <v>0</v>
      </c>
      <c r="J35" s="16">
        <v>0</v>
      </c>
      <c r="K35" s="16">
        <f>+H35+I35-J35</f>
        <v>1565699.6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</f>
        <v>256.35000000000002</v>
      </c>
      <c r="E36" s="14">
        <v>0</v>
      </c>
      <c r="F36" s="15">
        <v>0</v>
      </c>
      <c r="G36" s="53">
        <f t="shared" ref="G36:G46" si="7">C36-E36</f>
        <v>0</v>
      </c>
      <c r="H36" s="16">
        <v>4703733.18</v>
      </c>
      <c r="I36" s="16">
        <v>0</v>
      </c>
      <c r="J36" s="16">
        <v>0</v>
      </c>
      <c r="K36" s="16">
        <f t="shared" ref="K36:K44" si="8">+H36+I36-J36</f>
        <v>4703733.18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</f>
        <v>39.369999999999997</v>
      </c>
      <c r="E37" s="14">
        <v>0</v>
      </c>
      <c r="F37" s="15">
        <v>0</v>
      </c>
      <c r="G37" s="53">
        <f t="shared" si="7"/>
        <v>0</v>
      </c>
      <c r="H37" s="16">
        <v>72574.8</v>
      </c>
      <c r="I37" s="16">
        <v>0</v>
      </c>
      <c r="J37" s="16">
        <v>0</v>
      </c>
      <c r="K37" s="16">
        <f t="shared" si="8"/>
        <v>72574.8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</f>
        <v>6.36</v>
      </c>
      <c r="E38" s="14">
        <v>0</v>
      </c>
      <c r="F38" s="15">
        <v>0</v>
      </c>
      <c r="G38" s="53">
        <f t="shared" si="7"/>
        <v>0</v>
      </c>
      <c r="H38" s="16">
        <v>6.36</v>
      </c>
      <c r="I38" s="16">
        <v>0</v>
      </c>
      <c r="J38" s="16">
        <v>0</v>
      </c>
      <c r="K38" s="16">
        <f t="shared" si="8"/>
        <v>6.36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</f>
        <v>5.21</v>
      </c>
      <c r="E39" s="14">
        <v>0</v>
      </c>
      <c r="F39" s="15">
        <v>0</v>
      </c>
      <c r="G39" s="53">
        <f t="shared" si="7"/>
        <v>0</v>
      </c>
      <c r="H39" s="16">
        <v>743368.3</v>
      </c>
      <c r="I39" s="16">
        <v>0</v>
      </c>
      <c r="J39" s="16">
        <v>0</v>
      </c>
      <c r="K39" s="16">
        <f t="shared" si="8"/>
        <v>743368.3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</f>
        <v>0.2</v>
      </c>
      <c r="E40" s="14">
        <v>0</v>
      </c>
      <c r="F40" s="15">
        <v>0</v>
      </c>
      <c r="G40" s="53">
        <f t="shared" si="7"/>
        <v>0</v>
      </c>
      <c r="H40" s="16">
        <v>76748.27</v>
      </c>
      <c r="I40" s="16">
        <v>0</v>
      </c>
      <c r="J40" s="16">
        <v>0</v>
      </c>
      <c r="K40" s="16">
        <f t="shared" si="8"/>
        <v>76748.27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</f>
        <v>0.49</v>
      </c>
      <c r="E41" s="14">
        <v>0</v>
      </c>
      <c r="F41" s="15">
        <v>0</v>
      </c>
      <c r="G41" s="53">
        <f t="shared" si="7"/>
        <v>0</v>
      </c>
      <c r="H41" s="16">
        <v>0.49</v>
      </c>
      <c r="I41" s="16">
        <v>0</v>
      </c>
      <c r="J41" s="16">
        <v>0</v>
      </c>
      <c r="K41" s="16">
        <f t="shared" si="8"/>
        <v>0.49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</f>
        <v>0.02</v>
      </c>
      <c r="E42" s="14">
        <v>0</v>
      </c>
      <c r="F42" s="15">
        <v>0</v>
      </c>
      <c r="G42" s="53">
        <f t="shared" si="7"/>
        <v>0</v>
      </c>
      <c r="H42" s="16">
        <v>0.02</v>
      </c>
      <c r="I42" s="16">
        <v>0</v>
      </c>
      <c r="J42" s="16">
        <v>0</v>
      </c>
      <c r="K42" s="16">
        <f t="shared" si="8"/>
        <v>0.02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</f>
        <v>0.39</v>
      </c>
      <c r="E43" s="14">
        <v>0</v>
      </c>
      <c r="F43" s="15">
        <v>0</v>
      </c>
      <c r="G43" s="53">
        <f t="shared" si="7"/>
        <v>0</v>
      </c>
      <c r="H43" s="16">
        <v>31450.2</v>
      </c>
      <c r="I43" s="16">
        <v>0</v>
      </c>
      <c r="J43" s="16">
        <v>0</v>
      </c>
      <c r="K43" s="16">
        <f t="shared" si="8"/>
        <v>31450.2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</f>
        <v>0.02</v>
      </c>
      <c r="E44" s="14">
        <v>0</v>
      </c>
      <c r="F44" s="15">
        <v>0</v>
      </c>
      <c r="G44" s="53">
        <f t="shared" si="7"/>
        <v>0</v>
      </c>
      <c r="H44" s="16">
        <v>0.08</v>
      </c>
      <c r="I44" s="16">
        <v>0</v>
      </c>
      <c r="J44" s="16">
        <v>0</v>
      </c>
      <c r="K44" s="16">
        <f t="shared" si="8"/>
        <v>0.08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</f>
        <v>3.06</v>
      </c>
      <c r="E45" s="14">
        <v>0</v>
      </c>
      <c r="F45" s="15">
        <v>0</v>
      </c>
      <c r="G45" s="53">
        <f t="shared" si="7"/>
        <v>0</v>
      </c>
      <c r="H45" s="16">
        <v>1395.06</v>
      </c>
      <c r="I45" s="16">
        <v>0</v>
      </c>
      <c r="J45" s="16">
        <v>0</v>
      </c>
      <c r="K45" s="16">
        <f>+H45+I45-J45</f>
        <v>1395.06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7"/>
        <v>0</v>
      </c>
      <c r="H46" s="16">
        <v>3.9</v>
      </c>
      <c r="I46" s="16">
        <v>0</v>
      </c>
      <c r="J46" s="16">
        <v>0</v>
      </c>
      <c r="K46" s="16">
        <f>+H46+I46-J46</f>
        <v>3.9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ref="G47:G59" si="9">C47-E47</f>
        <v>0</v>
      </c>
      <c r="H47" s="19">
        <f>SUM(H48:H52)</f>
        <v>3687.42</v>
      </c>
      <c r="I47" s="19">
        <f t="shared" ref="I47" si="10">SUM(I48:I52)</f>
        <v>0</v>
      </c>
      <c r="J47" s="19">
        <f t="shared" ref="J47" si="11">SUM(J48:J52)</f>
        <v>0</v>
      </c>
      <c r="K47" s="19">
        <f>SUM(K48:K52)</f>
        <v>3687.42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9"/>
        <v>0</v>
      </c>
      <c r="H48" s="16">
        <v>0</v>
      </c>
      <c r="I48" s="16">
        <v>0</v>
      </c>
      <c r="J48" s="16">
        <v>0</v>
      </c>
      <c r="K48" s="16">
        <f t="shared" ref="K48:K50" si="12">+H48+I48-J48</f>
        <v>0</v>
      </c>
      <c r="L48" s="15">
        <v>0</v>
      </c>
    </row>
    <row r="49" spans="1:13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9"/>
        <v>0</v>
      </c>
      <c r="H49" s="16">
        <v>0</v>
      </c>
      <c r="I49" s="16">
        <v>0</v>
      </c>
      <c r="J49" s="16">
        <v>0</v>
      </c>
      <c r="K49" s="16">
        <f t="shared" si="12"/>
        <v>0</v>
      </c>
      <c r="L49" s="15">
        <v>0</v>
      </c>
    </row>
    <row r="50" spans="1:13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9"/>
        <v>0</v>
      </c>
      <c r="H50" s="16">
        <v>0</v>
      </c>
      <c r="I50" s="16">
        <v>0</v>
      </c>
      <c r="J50" s="16">
        <v>0</v>
      </c>
      <c r="K50" s="16">
        <f t="shared" si="12"/>
        <v>0</v>
      </c>
      <c r="L50" s="15">
        <v>0</v>
      </c>
    </row>
    <row r="51" spans="1:13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3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3687.42</v>
      </c>
      <c r="I52" s="16">
        <v>0</v>
      </c>
      <c r="J52" s="16">
        <v>0</v>
      </c>
      <c r="K52" s="16">
        <f>+H52+I52-J52</f>
        <v>3687.42</v>
      </c>
      <c r="L52" s="15">
        <v>0</v>
      </c>
    </row>
    <row r="53" spans="1:13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9"/>
        <v>0</v>
      </c>
      <c r="H53" s="19">
        <f>SUM(H54:H55)</f>
        <v>2581182.61</v>
      </c>
      <c r="I53" s="19">
        <f t="shared" ref="I53" si="13">SUM(I54:I55)</f>
        <v>0</v>
      </c>
      <c r="J53" s="19">
        <f t="shared" ref="J53" si="14">SUM(J54:J55)</f>
        <v>0</v>
      </c>
      <c r="K53" s="19">
        <f t="shared" ref="K53" si="15">SUM(K54:K55)</f>
        <v>2581182.61</v>
      </c>
      <c r="L53" s="50">
        <v>0</v>
      </c>
    </row>
    <row r="54" spans="1:13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9"/>
        <v>0</v>
      </c>
      <c r="H54" s="16">
        <v>2581182.61</v>
      </c>
      <c r="I54" s="16">
        <v>0</v>
      </c>
      <c r="J54" s="16">
        <v>0</v>
      </c>
      <c r="K54" s="16">
        <f t="shared" ref="K54:K55" si="16">+H54+I54-J54</f>
        <v>2581182.61</v>
      </c>
      <c r="L54" s="15">
        <v>0</v>
      </c>
    </row>
    <row r="55" spans="1:13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9"/>
        <v>0</v>
      </c>
      <c r="H55" s="16">
        <v>0</v>
      </c>
      <c r="I55" s="16">
        <v>0</v>
      </c>
      <c r="J55" s="16">
        <v>0</v>
      </c>
      <c r="K55" s="16">
        <f t="shared" si="16"/>
        <v>0</v>
      </c>
      <c r="L55" s="15">
        <v>0</v>
      </c>
    </row>
    <row r="56" spans="1:13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7">SUM(E57:E59)</f>
        <v>0</v>
      </c>
      <c r="F56" s="50">
        <v>0</v>
      </c>
      <c r="G56" s="54">
        <f t="shared" si="9"/>
        <v>0</v>
      </c>
      <c r="H56" s="19">
        <f>SUM(H57:H59)</f>
        <v>3449.1</v>
      </c>
      <c r="I56" s="19">
        <f t="shared" ref="I56" si="18">SUM(I57:I59)</f>
        <v>0</v>
      </c>
      <c r="J56" s="19">
        <f t="shared" ref="J56" si="19">SUM(J57:J59)</f>
        <v>0</v>
      </c>
      <c r="K56" s="19">
        <f>SUM(K57:K59)</f>
        <v>3449.1</v>
      </c>
      <c r="L56" s="50">
        <v>0</v>
      </c>
    </row>
    <row r="57" spans="1:13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9"/>
        <v>0</v>
      </c>
      <c r="H57" s="16">
        <v>3449.1</v>
      </c>
      <c r="I57" s="16">
        <v>0</v>
      </c>
      <c r="J57" s="16">
        <v>0</v>
      </c>
      <c r="K57" s="16">
        <f>+H57+I57-J57</f>
        <v>3449.1</v>
      </c>
      <c r="L57" s="15">
        <v>0</v>
      </c>
    </row>
    <row r="58" spans="1:13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9"/>
        <v>0</v>
      </c>
      <c r="H58" s="16">
        <v>0</v>
      </c>
      <c r="I58" s="16">
        <v>0</v>
      </c>
      <c r="J58" s="16">
        <v>0</v>
      </c>
      <c r="K58" s="16">
        <f t="shared" ref="K58" si="20">+H58+I58-J58</f>
        <v>0</v>
      </c>
      <c r="L58" s="15">
        <v>0</v>
      </c>
    </row>
    <row r="59" spans="1:13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9"/>
        <v>0</v>
      </c>
      <c r="H59" s="16">
        <v>0</v>
      </c>
      <c r="I59" s="16">
        <v>0</v>
      </c>
      <c r="J59" s="16">
        <v>0</v>
      </c>
      <c r="K59" s="16">
        <f t="shared" ref="K59" si="21">+H59+I59-J59</f>
        <v>0</v>
      </c>
      <c r="L59" s="15">
        <v>0</v>
      </c>
    </row>
    <row r="60" spans="1:13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37391387.649999999</v>
      </c>
      <c r="D60" s="55">
        <f>D14+D21+D33+D47+D53+D56</f>
        <v>1453.28</v>
      </c>
      <c r="E60" s="55">
        <f>E14+E21+E47+E53+E56</f>
        <v>2619626.1</v>
      </c>
      <c r="F60" s="50">
        <f>E60/C60</f>
        <v>7.0059611708473205E-2</v>
      </c>
      <c r="G60" s="55">
        <f>G14+G21+G47+G53+G56</f>
        <v>34771761.549999997</v>
      </c>
      <c r="H60" s="55">
        <f>H14+H21+H33+H47+H53+H56</f>
        <v>51888680.300000004</v>
      </c>
      <c r="I60" s="19">
        <f t="shared" ref="I60" si="22">I14+I21+I47+I53+I56</f>
        <v>0</v>
      </c>
      <c r="J60" s="55">
        <f>J14+J21+J47+J53+J56</f>
        <v>380349.33999999997</v>
      </c>
      <c r="K60" s="19">
        <f>K14+K21+K47+K53+K56</f>
        <v>35632325.32</v>
      </c>
      <c r="L60" s="15">
        <f>E60/B60</f>
        <v>1.5901383390182319E-2</v>
      </c>
    </row>
    <row r="61" spans="1:13" ht="15.75" customHeight="1" x14ac:dyDescent="0.2">
      <c r="C61" s="79">
        <v>37391748.68</v>
      </c>
      <c r="D61" s="79">
        <v>1453.28</v>
      </c>
      <c r="E61" s="79">
        <v>4322202.05</v>
      </c>
      <c r="G61" s="79">
        <f>C60-E60</f>
        <v>34771761.549999997</v>
      </c>
      <c r="J61" s="79">
        <v>380349.34</v>
      </c>
      <c r="K61" s="56"/>
    </row>
    <row r="62" spans="1:13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  <c r="K62" s="80"/>
    </row>
    <row r="63" spans="1:13" ht="15.75" customHeight="1" x14ac:dyDescent="0.2">
      <c r="C63" s="21"/>
      <c r="D63" s="21"/>
      <c r="E63" s="21"/>
      <c r="F63" s="21"/>
      <c r="G63" s="60"/>
      <c r="H63" s="21"/>
      <c r="I63" s="21"/>
    </row>
    <row r="64" spans="1:13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22" t="s">
        <v>8</v>
      </c>
      <c r="L64" s="1" t="s">
        <v>114</v>
      </c>
      <c r="M64" s="56">
        <f>C61-C60</f>
        <v>361.03000000119209</v>
      </c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L65" s="56"/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</f>
        <v>20303</v>
      </c>
      <c r="H66" s="206"/>
      <c r="I66" s="23">
        <f t="shared" ref="I66:I72" si="23">G66/D66</f>
        <v>0.17967256637168141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</f>
        <v>0</v>
      </c>
      <c r="H67" s="206"/>
      <c r="I67" s="23">
        <f t="shared" si="23"/>
        <v>0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</f>
        <v>0</v>
      </c>
      <c r="H68" s="206"/>
      <c r="I68" s="23">
        <f t="shared" si="23"/>
        <v>0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</f>
        <v>0</v>
      </c>
      <c r="H69" s="206"/>
      <c r="I69" s="23">
        <f t="shared" si="23"/>
        <v>0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</f>
        <v>0</v>
      </c>
      <c r="H70" s="206"/>
      <c r="I70" s="23">
        <f t="shared" si="23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</f>
        <v>1518.44</v>
      </c>
      <c r="H71" s="206"/>
      <c r="I71" s="23">
        <f t="shared" si="23"/>
        <v>1.2623259758560246E-3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21821.439999999999</v>
      </c>
      <c r="H72" s="206"/>
      <c r="I72" s="23">
        <f t="shared" si="23"/>
        <v>1.1279209938913888E-3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28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28"/>
      <c r="C76" s="28"/>
      <c r="D76" s="28"/>
      <c r="G76" s="62"/>
      <c r="H76" s="29"/>
      <c r="J76" s="29"/>
      <c r="K76" s="29"/>
    </row>
    <row r="77" spans="1:15" s="27" customFormat="1" ht="15.75" customHeight="1" x14ac:dyDescent="0.3">
      <c r="B77" s="212" t="s">
        <v>109</v>
      </c>
      <c r="C77" s="212"/>
      <c r="D77" s="31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31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34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3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41"/>
      <c r="B91" s="41"/>
      <c r="C91" s="41"/>
      <c r="D91" s="41"/>
      <c r="E91" s="41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B68:C68"/>
    <mergeCell ref="B69:C69"/>
    <mergeCell ref="B70:C70"/>
    <mergeCell ref="B71:C71"/>
    <mergeCell ref="G68:H68"/>
    <mergeCell ref="G69:H69"/>
    <mergeCell ref="G70:H70"/>
    <mergeCell ref="G71:H71"/>
    <mergeCell ref="E122:L122"/>
    <mergeCell ref="J75:K75"/>
    <mergeCell ref="D68:F68"/>
    <mergeCell ref="D69:F69"/>
    <mergeCell ref="D70:F70"/>
    <mergeCell ref="D71:F71"/>
    <mergeCell ref="E134:T134"/>
    <mergeCell ref="E135:T135"/>
    <mergeCell ref="E136:T136"/>
    <mergeCell ref="B77:C77"/>
    <mergeCell ref="F77:H77"/>
    <mergeCell ref="J77:K77"/>
    <mergeCell ref="E98:L98"/>
    <mergeCell ref="E100:L100"/>
    <mergeCell ref="E102:L102"/>
    <mergeCell ref="E104:L104"/>
    <mergeCell ref="E106:L106"/>
    <mergeCell ref="E108:L108"/>
    <mergeCell ref="A86:L86"/>
    <mergeCell ref="A88:C88"/>
    <mergeCell ref="E88:L88"/>
    <mergeCell ref="E90:I90"/>
    <mergeCell ref="A92:B92"/>
    <mergeCell ref="E92:I92"/>
    <mergeCell ref="B78:C78"/>
    <mergeCell ref="F78:H78"/>
    <mergeCell ref="J78:K78"/>
    <mergeCell ref="B79:C79"/>
    <mergeCell ref="G79:H79"/>
    <mergeCell ref="J79:K79"/>
    <mergeCell ref="B72:C72"/>
    <mergeCell ref="D72:F72"/>
    <mergeCell ref="G72:H72"/>
    <mergeCell ref="B75:C75"/>
    <mergeCell ref="G75:H75"/>
    <mergeCell ref="B66:C66"/>
    <mergeCell ref="D66:F66"/>
    <mergeCell ref="G66:H66"/>
    <mergeCell ref="B67:C67"/>
    <mergeCell ref="D67:F67"/>
    <mergeCell ref="G67:H67"/>
    <mergeCell ref="C62:I62"/>
    <mergeCell ref="B64:C64"/>
    <mergeCell ref="D64:F64"/>
    <mergeCell ref="G64:H64"/>
    <mergeCell ref="B65:C65"/>
    <mergeCell ref="D65:F65"/>
    <mergeCell ref="G65:H65"/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T147"/>
  <sheetViews>
    <sheetView zoomScaleNormal="100" zoomScaleSheetLayoutView="100" workbookViewId="0">
      <pane ySplit="13" topLeftCell="A67" activePane="bottomLeft" state="frozen"/>
      <selection pane="bottomLeft" sqref="A1:L8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7.140625" style="1" customWidth="1"/>
    <col min="7" max="7" width="12.7109375" style="12" customWidth="1"/>
    <col min="8" max="9" width="13.7109375" style="1" customWidth="1"/>
    <col min="10" max="10" width="14.28515625" style="1" customWidth="1"/>
    <col min="11" max="11" width="17.28515625" style="1" customWidth="1"/>
    <col min="12" max="12" width="8.28515625" style="1" customWidth="1"/>
    <col min="13" max="13" width="12.5703125" style="1" bestFit="1" customWidth="1"/>
    <col min="14" max="15" width="12.85546875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49"/>
      <c r="B6" s="149"/>
      <c r="C6" s="149"/>
      <c r="D6" s="149"/>
      <c r="E6" s="149"/>
      <c r="F6" s="149"/>
      <c r="G6" s="7"/>
      <c r="H6" s="149"/>
      <c r="I6" s="149"/>
      <c r="J6" s="149"/>
      <c r="K6" s="149"/>
      <c r="L6" s="149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54"/>
      <c r="B8" s="154"/>
      <c r="C8" s="154"/>
      <c r="D8" s="154"/>
      <c r="E8" s="154"/>
      <c r="F8" s="154"/>
      <c r="G8" s="58"/>
      <c r="H8" s="154"/>
      <c r="I8" s="154"/>
      <c r="J8" s="154"/>
      <c r="K8" s="154"/>
      <c r="L8" s="154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49"/>
      <c r="E9" s="149"/>
      <c r="F9" s="149"/>
      <c r="G9" s="7"/>
      <c r="H9" s="149"/>
      <c r="I9" s="149"/>
      <c r="J9" s="149"/>
      <c r="K9" s="149"/>
      <c r="L9" s="149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55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2">
        <f>SUM(B15:B20)</f>
        <v>85942683</v>
      </c>
      <c r="C14" s="52">
        <f>SUM(C15:C20)</f>
        <v>122837969.81</v>
      </c>
      <c r="D14" s="52">
        <f>SUM(D15:D20)</f>
        <v>6384.829999999999</v>
      </c>
      <c r="E14" s="52">
        <f>SUM(E15:E20)</f>
        <v>124133268.97</v>
      </c>
      <c r="F14" s="184">
        <f>E14/C14</f>
        <v>1.0105447783124673</v>
      </c>
      <c r="G14" s="54">
        <f>C14-E14</f>
        <v>-1295299.1599999964</v>
      </c>
      <c r="H14" s="52">
        <f>SUM(H15:H20)</f>
        <v>1105459.8900000001</v>
      </c>
      <c r="I14" s="52">
        <f>SUM(I15:I20)</f>
        <v>0</v>
      </c>
      <c r="J14" s="52">
        <f t="shared" ref="J14" si="0">SUM(J15:J20)</f>
        <v>3745869.14</v>
      </c>
      <c r="K14" s="54">
        <f>+H14+I14-J14</f>
        <v>-2640409.25</v>
      </c>
      <c r="L14" s="184">
        <f>E14/B14</f>
        <v>1.4443727451469022</v>
      </c>
      <c r="M14" s="12"/>
    </row>
    <row r="15" spans="1:19" ht="15.75" customHeight="1" x14ac:dyDescent="0.25">
      <c r="A15" s="17" t="s">
        <v>17</v>
      </c>
      <c r="B15" s="51">
        <f>80209+56555615</f>
        <v>56635824</v>
      </c>
      <c r="C15" s="51">
        <f>'[1]AI MENSUAL'!$F$10+'[1]AI MENSUAL'!$G$10+'[1]AI MENSUAL'!$H$10+'[1]AI MENSUAL'!$I$10+'[1]AI MENSUAL'!$J$10+'[1]AI MENSUAL'!$K$10+'[1]AI MENSUAL'!$L$10+'[1]AI MENSUAL'!$M$10+'[1]AI MENSUAL'!$N$10+'[1]AI MENSUAL'!$O$10</f>
        <v>109645586.86000001</v>
      </c>
      <c r="D15" s="51">
        <v>0</v>
      </c>
      <c r="E15" s="51">
        <v>124133268.97</v>
      </c>
      <c r="F15" s="185">
        <f>E15/C15</f>
        <v>1.1321319218118504</v>
      </c>
      <c r="G15" s="53">
        <f>C15-E15</f>
        <v>-14487682.109999985</v>
      </c>
      <c r="H15" s="53">
        <f>-25748.72+1131208.61</f>
        <v>1105459.8900000001</v>
      </c>
      <c r="I15" s="53">
        <v>0</v>
      </c>
      <c r="J15" s="53">
        <v>3745869.14</v>
      </c>
      <c r="K15" s="53">
        <f>+H15+I15-J15</f>
        <v>-2640409.25</v>
      </c>
      <c r="L15" s="185">
        <f t="shared" ref="L15:L29" si="1">E15/B15</f>
        <v>2.19178004667152</v>
      </c>
      <c r="M15" s="12"/>
    </row>
    <row r="16" spans="1:19" ht="15.75" customHeight="1" x14ac:dyDescent="0.25">
      <c r="A16" s="17" t="s">
        <v>18</v>
      </c>
      <c r="B16" s="51">
        <f>24254432</f>
        <v>24254432</v>
      </c>
      <c r="C16" s="51">
        <f>'[1]AI MENSUAL'!$F$30+'[1]AI MENSUAL'!$G$30+'[1]AI MENSUAL'!$H$30+'[1]AI MENSUAL'!$I$30+'[1]AI MENSUAL'!$J$30+'[1]AI MENSUAL'!$K$30+'[1]AI MENSUAL'!$L$30+'[1]AI MENSUAL'!$M$30+'[1]AI MENSUAL'!$N$30+'[1]AI MENSUAL'!$O$30</f>
        <v>8865680.5200000014</v>
      </c>
      <c r="D16" s="51">
        <v>0</v>
      </c>
      <c r="E16" s="51">
        <v>0</v>
      </c>
      <c r="F16" s="185">
        <f t="shared" ref="F16:F18" si="2">E16/C16</f>
        <v>0</v>
      </c>
      <c r="G16" s="53">
        <f>C16-E16</f>
        <v>8865680.5200000014</v>
      </c>
      <c r="H16" s="53">
        <v>0</v>
      </c>
      <c r="I16" s="53">
        <v>0</v>
      </c>
      <c r="J16" s="53">
        <v>0</v>
      </c>
      <c r="K16" s="53">
        <f t="shared" ref="K16:K20" si="3">+H16+I16-J16</f>
        <v>0</v>
      </c>
      <c r="L16" s="185">
        <f t="shared" si="1"/>
        <v>0</v>
      </c>
      <c r="M16" s="12"/>
    </row>
    <row r="17" spans="1:15" ht="15.75" customHeight="1" x14ac:dyDescent="0.25">
      <c r="A17" s="17" t="s">
        <v>19</v>
      </c>
      <c r="B17" s="51">
        <v>3924676</v>
      </c>
      <c r="C17" s="51">
        <f>'[1]AI MENSUAL'!$F$39+'[1]AI MENSUAL'!$G$39+'[1]AI MENSUAL'!$H$39+'[1]AI MENSUAL'!$I$39+'[1]AI MENSUAL'!$J$39+'[1]AI MENSUAL'!$K$39+'[1]AI MENSUAL'!$L$39+'[1]AI MENSUAL'!$M$39+'[1]AI MENSUAL'!$N$39+'[1]AI MENSUAL'!$O$39</f>
        <v>4320317.5999999996</v>
      </c>
      <c r="D17" s="51">
        <v>0</v>
      </c>
      <c r="E17" s="51">
        <v>0</v>
      </c>
      <c r="F17" s="185">
        <f t="shared" si="2"/>
        <v>0</v>
      </c>
      <c r="G17" s="53">
        <f>C17-E17</f>
        <v>4320317.5999999996</v>
      </c>
      <c r="H17" s="53">
        <v>0</v>
      </c>
      <c r="I17" s="53">
        <v>0</v>
      </c>
      <c r="J17" s="53">
        <v>0</v>
      </c>
      <c r="K17" s="53">
        <f t="shared" si="3"/>
        <v>0</v>
      </c>
      <c r="L17" s="185">
        <f t="shared" si="1"/>
        <v>0</v>
      </c>
      <c r="M17" s="12"/>
    </row>
    <row r="18" spans="1:15" ht="15.75" customHeight="1" x14ac:dyDescent="0.25">
      <c r="A18" s="17" t="s">
        <v>20</v>
      </c>
      <c r="B18" s="51">
        <v>1127751</v>
      </c>
      <c r="C18" s="51">
        <f>'[1]AI MENSUAL'!$F$35+'[1]AI MENSUAL'!$G$35+'[1]AI MENSUAL'!$H$35+'[1]AI MENSUAL'!$I$35+'[1]AI MENSUAL'!$J$35+'[1]AI MENSUAL'!$K$35+'[1]AI MENSUAL'!$L$35+'[1]AI MENSUAL'!$M$35+'[1]AI MENSUAL'!$N$35+'[1]AI MENSUAL'!$O$35</f>
        <v>6384.829999999999</v>
      </c>
      <c r="D18" s="51">
        <f>'[1]AI MENSUAL'!$F$35+'[1]AI MENSUAL'!$G$35+'[1]AI MENSUAL'!$H$35+'[1]AI MENSUAL'!$I$35+'[1]AI MENSUAL'!$J$35+'[1]AI MENSUAL'!$K$35+'[1]AI MENSUAL'!$L$35+'[1]AI MENSUAL'!$M$35+'[1]AI MENSUAL'!$N$35+'[1]AI MENSUAL'!$O$35</f>
        <v>6384.829999999999</v>
      </c>
      <c r="E18" s="51">
        <v>0</v>
      </c>
      <c r="F18" s="185">
        <f t="shared" si="2"/>
        <v>0</v>
      </c>
      <c r="G18" s="53">
        <f>C18-E18</f>
        <v>6384.829999999999</v>
      </c>
      <c r="H18" s="53">
        <v>0</v>
      </c>
      <c r="I18" s="53">
        <v>0</v>
      </c>
      <c r="J18" s="53">
        <v>0</v>
      </c>
      <c r="K18" s="53">
        <f t="shared" si="3"/>
        <v>0</v>
      </c>
      <c r="L18" s="185">
        <f t="shared" si="1"/>
        <v>0</v>
      </c>
      <c r="M18" s="12"/>
    </row>
    <row r="19" spans="1:15" ht="15.75" customHeight="1" x14ac:dyDescent="0.25">
      <c r="A19" s="17" t="s">
        <v>21</v>
      </c>
      <c r="B19" s="51">
        <v>0</v>
      </c>
      <c r="C19" s="51">
        <v>0</v>
      </c>
      <c r="D19" s="51">
        <v>0</v>
      </c>
      <c r="E19" s="51">
        <v>0</v>
      </c>
      <c r="F19" s="185">
        <v>0</v>
      </c>
      <c r="G19" s="53">
        <f t="shared" ref="G19:G20" si="4">C19-E19</f>
        <v>0</v>
      </c>
      <c r="H19" s="53">
        <v>0</v>
      </c>
      <c r="I19" s="53">
        <v>0</v>
      </c>
      <c r="J19" s="53">
        <v>0</v>
      </c>
      <c r="K19" s="53">
        <f t="shared" si="3"/>
        <v>0</v>
      </c>
      <c r="L19" s="185">
        <v>0</v>
      </c>
      <c r="M19" s="12"/>
      <c r="N19" s="12"/>
    </row>
    <row r="20" spans="1:15" ht="15.75" customHeight="1" x14ac:dyDescent="0.25">
      <c r="A20" s="17" t="s">
        <v>22</v>
      </c>
      <c r="B20" s="51">
        <v>0</v>
      </c>
      <c r="C20" s="51">
        <v>0</v>
      </c>
      <c r="D20" s="51">
        <v>0</v>
      </c>
      <c r="E20" s="51">
        <v>0</v>
      </c>
      <c r="F20" s="185">
        <v>0</v>
      </c>
      <c r="G20" s="53">
        <f t="shared" si="4"/>
        <v>0</v>
      </c>
      <c r="H20" s="53">
        <v>0</v>
      </c>
      <c r="I20" s="53">
        <v>0</v>
      </c>
      <c r="J20" s="53">
        <v>0</v>
      </c>
      <c r="K20" s="53">
        <f t="shared" si="3"/>
        <v>0</v>
      </c>
      <c r="L20" s="185">
        <v>0</v>
      </c>
      <c r="M20" s="182"/>
      <c r="N20" s="182"/>
    </row>
    <row r="21" spans="1:15" ht="15.75" customHeight="1" x14ac:dyDescent="0.25">
      <c r="A21" s="13" t="s">
        <v>113</v>
      </c>
      <c r="B21" s="52">
        <f>SUM(B22:B32)</f>
        <v>78799342</v>
      </c>
      <c r="C21" s="52">
        <f>SUM(C22:C33)</f>
        <v>88281180.61999999</v>
      </c>
      <c r="D21" s="52">
        <f>SUM(D22:D33)</f>
        <v>2392.1700000000005</v>
      </c>
      <c r="E21" s="52">
        <f>SUM(E22:E33)</f>
        <v>70442110.659999996</v>
      </c>
      <c r="F21" s="184">
        <f>E21/C21</f>
        <v>0.79792896023007454</v>
      </c>
      <c r="G21" s="54">
        <f>C21-E21</f>
        <v>17839069.959999993</v>
      </c>
      <c r="H21" s="52">
        <f>SUM(H22:H33)</f>
        <v>18507124.220000003</v>
      </c>
      <c r="I21" s="52">
        <f>SUM(I22:I33)</f>
        <v>0</v>
      </c>
      <c r="J21" s="52">
        <f>SUM(J22:J33)</f>
        <v>1108294.24</v>
      </c>
      <c r="K21" s="52">
        <f>SUM(K22:K33)</f>
        <v>17398829.98</v>
      </c>
      <c r="L21" s="184">
        <f>E21/B21</f>
        <v>0.89394287911693471</v>
      </c>
      <c r="M21" s="182">
        <v>19612584.109999999</v>
      </c>
      <c r="N21" s="183">
        <f>M21-H21</f>
        <v>1105459.8899999969</v>
      </c>
      <c r="O21" s="56"/>
    </row>
    <row r="22" spans="1:15" ht="15.75" customHeight="1" x14ac:dyDescent="0.25">
      <c r="A22" s="17" t="s">
        <v>23</v>
      </c>
      <c r="B22" s="51">
        <v>28724811</v>
      </c>
      <c r="C22" s="51">
        <f>'[1]AI MENSUAL'!$F$52+'[1]AI MENSUAL'!$G$52+'[1]AI MENSUAL'!$H$52+'[1]AI MENSUAL'!$I$52+'[1]AI MENSUAL'!$J$52+'[1]AI MENSUAL'!$K$52+'[1]AI MENSUAL'!$L$52+'[1]AI MENSUAL'!$M$52+'[1]AI MENSUAL'!$N$52+'[1]AI MENSUAL'!$O$52</f>
        <v>36202190.730000004</v>
      </c>
      <c r="D22" s="51">
        <f>'[1]AI MENSUAL'!$F$53+'[1]AI MENSUAL'!$G$53+'[1]AI MENSUAL'!$H$53+'[1]AI MENSUAL'!$I$53+'[1]AI MENSUAL'!$J$53+'[1]AI MENSUAL'!$K$53+'[1]AI MENSUAL'!$L$53+'[1]AI MENSUAL'!$M$53+'[1]AI MENSUAL'!$N$53+'[1]AI MENSUAL'!$O$53</f>
        <v>1405.7800000000002</v>
      </c>
      <c r="E22" s="51">
        <v>32784817.460000001</v>
      </c>
      <c r="F22" s="185">
        <f>E22/C22</f>
        <v>0.90560313613374521</v>
      </c>
      <c r="G22" s="53">
        <f>C22-E22</f>
        <v>3417373.2700000033</v>
      </c>
      <c r="H22" s="53">
        <f>3098194.71+945164.31</f>
        <v>4043359.02</v>
      </c>
      <c r="I22" s="53">
        <v>0</v>
      </c>
      <c r="J22" s="53">
        <v>341299.63</v>
      </c>
      <c r="K22" s="53">
        <f t="shared" ref="K22:K30" si="5">+H22+I22-J22</f>
        <v>3702059.39</v>
      </c>
      <c r="L22" s="185">
        <f>E22/B22</f>
        <v>1.1413414507757771</v>
      </c>
      <c r="M22" s="179">
        <f>[3]Hoja1!$B$9+[3]Hoja1!$C$9+[3]Hoja1!$D$9+[3]Hoja1!$E$9+[3]Hoja1!$F$9+[3]Hoja1!$G$9+[3]Hoja1!$H$9+[3]Hoja1!$I$9+[3]Hoja1!$J$9</f>
        <v>6159279.4800000004</v>
      </c>
      <c r="N22" s="183">
        <f>M22-J21</f>
        <v>5050985.24</v>
      </c>
    </row>
    <row r="23" spans="1:15" ht="15.75" customHeight="1" x14ac:dyDescent="0.25">
      <c r="A23" s="17" t="s">
        <v>24</v>
      </c>
      <c r="B23" s="51">
        <v>7609418</v>
      </c>
      <c r="C23" s="51">
        <f>'[1]AI MENSUAL'!$F$101+'[1]AI MENSUAL'!$G$101+'[1]AI MENSUAL'!$H$101+'[1]AI MENSUAL'!$I$101+'[1]AI MENSUAL'!$J$101+'[1]AI MENSUAL'!$K$101+'[1]AI MENSUAL'!$L$101+'[1]AI MENSUAL'!$M$101+'[1]AI MENSUAL'!$N$101+'[1]AI MENSUAL'!$O$101</f>
        <v>7442074.0000000019</v>
      </c>
      <c r="D23" s="51">
        <f>'[1]AI MENSUAL'!$F$102+'[1]AI MENSUAL'!$G$102+'[1]AI MENSUAL'!$H$102+'[1]AI MENSUAL'!$I$102+'[1]AI MENSUAL'!$J$102+'[1]AI MENSUAL'!$K$102+'[1]AI MENSUAL'!$L$102+'[1]AI MENSUAL'!$M$102+'[1]AI MENSUAL'!$N$102+'[1]AI MENSUAL'!$O$102</f>
        <v>641.55999999999995</v>
      </c>
      <c r="E23" s="51">
        <f>[2]FISM!$G$55+[2]FISM!$H$55+[2]FISM!$I$55+[2]FISM!$J$55+[2]FISM!$K$55+[2]FISM!$L$55+[2]FISM!$M$55+[2]FISM!$N$55+[2]FISM!$O$55</f>
        <v>0</v>
      </c>
      <c r="F23" s="185">
        <f t="shared" ref="F23:F29" si="6">E23/C23</f>
        <v>0</v>
      </c>
      <c r="G23" s="53">
        <f t="shared" ref="G23:G31" si="7">C23-E23</f>
        <v>7442074.0000000019</v>
      </c>
      <c r="H23" s="53">
        <f>5954702.82+1488415.01</f>
        <v>7443117.8300000001</v>
      </c>
      <c r="I23" s="53">
        <v>0</v>
      </c>
      <c r="J23" s="53">
        <v>0</v>
      </c>
      <c r="K23" s="53">
        <f t="shared" si="5"/>
        <v>7443117.8300000001</v>
      </c>
      <c r="L23" s="185">
        <f t="shared" si="1"/>
        <v>0</v>
      </c>
      <c r="M23" s="182">
        <v>4854163.4800000004</v>
      </c>
      <c r="N23" s="183">
        <f>M23-J21</f>
        <v>3745869.24</v>
      </c>
    </row>
    <row r="24" spans="1:15" ht="15.75" customHeight="1" x14ac:dyDescent="0.25">
      <c r="A24" s="17" t="s">
        <v>25</v>
      </c>
      <c r="B24" s="51">
        <v>26777000</v>
      </c>
      <c r="C24" s="51">
        <f>'[1]AI MENSUAL'!$F$104+'[1]AI MENSUAL'!$G$104+'[1]AI MENSUAL'!$H$104+'[1]AI MENSUAL'!$I$104+'[1]AI MENSUAL'!$J$104+'[1]AI MENSUAL'!$K$104+'[1]AI MENSUAL'!$L$104+'[1]AI MENSUAL'!$M$104+'[1]AI MENSUAL'!$N$104+'[1]AI MENSUAL'!$O$104</f>
        <v>23041162.599999994</v>
      </c>
      <c r="D24" s="51">
        <f>'[1]AI MENSUAL'!$F$105+'[1]AI MENSUAL'!$G$105+'[1]AI MENSUAL'!$H$105+'[1]AI MENSUAL'!$I$105+'[1]AI MENSUAL'!$J$105+'[1]AI MENSUAL'!$K$105+'[1]AI MENSUAL'!$L$105+'[1]AI MENSUAL'!$M$105+'[1]AI MENSUAL'!$N$105+'[1]AI MENSUAL'!$O$105</f>
        <v>4.49</v>
      </c>
      <c r="E24" s="51">
        <v>20134577.649999999</v>
      </c>
      <c r="F24" s="185">
        <f t="shared" si="6"/>
        <v>0.87385250473428822</v>
      </c>
      <c r="G24" s="53">
        <f>C24-E24</f>
        <v>2906584.9499999955</v>
      </c>
      <c r="H24" s="53">
        <f>100000+2806629.55</f>
        <v>2906629.55</v>
      </c>
      <c r="I24" s="53">
        <v>0</v>
      </c>
      <c r="J24" s="53">
        <v>102757.45</v>
      </c>
      <c r="K24" s="53">
        <f t="shared" si="5"/>
        <v>2803872.0999999996</v>
      </c>
      <c r="L24" s="185">
        <f t="shared" si="1"/>
        <v>0.75193552862531277</v>
      </c>
      <c r="M24" s="182"/>
      <c r="N24" s="176"/>
    </row>
    <row r="25" spans="1:15" ht="15.75" customHeight="1" x14ac:dyDescent="0.25">
      <c r="A25" s="17" t="s">
        <v>26</v>
      </c>
      <c r="B25" s="51">
        <v>1161847</v>
      </c>
      <c r="C25" s="51">
        <f>'[1]AI MENSUAL'!$F$77+'[1]AI MENSUAL'!$G$77+'[1]AI MENSUAL'!$H$77+'[1]AI MENSUAL'!$I$77+'[1]AI MENSUAL'!$J$77+'[1]AI MENSUAL'!$K$77+'[1]AI MENSUAL'!$L$77+'[1]AI MENSUAL'!$M$77+'[1]AI MENSUAL'!$N$77+'[1]AI MENSUAL'!$O$77</f>
        <v>1620321.72</v>
      </c>
      <c r="D25" s="51">
        <f>'[1]AI MENSUAL'!$F$78+'[1]AI MENSUAL'!$G$78+'[1]AI MENSUAL'!$H$78+'[1]AI MENSUAL'!$I$78+'[1]AI MENSUAL'!$J$78+'[1]AI MENSUAL'!$K$78+'[1]AI MENSUAL'!$L$78+'[1]AI MENSUAL'!$M$78+'[1]AI MENSUAL'!$N$78+'[1]AI MENSUAL'!$O$78</f>
        <v>29.549999999999997</v>
      </c>
      <c r="E25" s="51">
        <v>962960.4</v>
      </c>
      <c r="F25" s="185">
        <f t="shared" si="6"/>
        <v>0.5943019760297974</v>
      </c>
      <c r="G25" s="53">
        <f t="shared" si="7"/>
        <v>657361.31999999995</v>
      </c>
      <c r="H25" s="53">
        <f>410723.27+246674.12</f>
        <v>657397.39</v>
      </c>
      <c r="I25" s="53">
        <v>0</v>
      </c>
      <c r="J25" s="53">
        <v>5335.98</v>
      </c>
      <c r="K25" s="53">
        <f t="shared" si="5"/>
        <v>652061.41</v>
      </c>
      <c r="L25" s="185">
        <f t="shared" si="1"/>
        <v>0.82881859659662593</v>
      </c>
      <c r="M25" s="12"/>
    </row>
    <row r="26" spans="1:15" ht="15.75" customHeight="1" x14ac:dyDescent="0.25">
      <c r="A26" s="17" t="s">
        <v>90</v>
      </c>
      <c r="B26" s="51">
        <v>12284567</v>
      </c>
      <c r="C26" s="51">
        <f>'[1]AI MENSUAL'!$F$48+'[1]AI MENSUAL'!$G$48+'[1]AI MENSUAL'!$H$48+'[1]AI MENSUAL'!$I$48+'[1]AI MENSUAL'!$J$48+'[1]AI MENSUAL'!$K$48+'[1]AI MENSUAL'!$L$48+'[1]AI MENSUAL'!$M$48+'[1]AI MENSUAL'!$N$48+'[1]AI MENSUAL'!$O$48</f>
        <v>11382267.83</v>
      </c>
      <c r="D26" s="51">
        <f>'[1]AI MENSUAL'!$F$49+'[1]AI MENSUAL'!$G$49+'[1]AI MENSUAL'!$H$49+'[1]AI MENSUAL'!$I$49+'[1]AI MENSUAL'!$J$49+'[1]AI MENSUAL'!$K$49+'[1]AI MENSUAL'!$L$49+'[1]AI MENSUAL'!$M$49+'[1]AI MENSUAL'!$N$49+'[1]AI MENSUAL'!$O$49</f>
        <v>189.05</v>
      </c>
      <c r="E26" s="51">
        <v>9850736.9000000004</v>
      </c>
      <c r="F26" s="185">
        <f t="shared" si="6"/>
        <v>0.86544588891474017</v>
      </c>
      <c r="G26" s="53">
        <f t="shared" si="7"/>
        <v>1531530.9299999997</v>
      </c>
      <c r="H26" s="53">
        <f>17.58+1531719.08</f>
        <v>1531736.6600000001</v>
      </c>
      <c r="I26" s="53">
        <v>0</v>
      </c>
      <c r="J26" s="53">
        <v>0</v>
      </c>
      <c r="K26" s="53">
        <f t="shared" si="5"/>
        <v>1531736.6600000001</v>
      </c>
      <c r="L26" s="185">
        <f t="shared" si="1"/>
        <v>0.80187904872837601</v>
      </c>
      <c r="M26" s="12"/>
    </row>
    <row r="27" spans="1:15" ht="15.75" customHeight="1" x14ac:dyDescent="0.25">
      <c r="A27" s="17" t="s">
        <v>91</v>
      </c>
      <c r="B27" s="51">
        <v>639170</v>
      </c>
      <c r="C27" s="51">
        <f>'[1]AI MENSUAL'!$F$62+'[1]AI MENSUAL'!$G$62+'[1]AI MENSUAL'!$H$62+'[1]AI MENSUAL'!$I$62+'[1]AI MENSUAL'!$J$62+'[1]AI MENSUAL'!$K$62+'[1]AI MENSUAL'!$L$62+'[1]AI MENSUAL'!$M$62+'[1]AI MENSUAL'!$M$66+'[1]AI MENSUAL'!$N$62+'[1]AI MENSUAL'!$O$62</f>
        <v>671348.41</v>
      </c>
      <c r="D27" s="51">
        <f>'[1]AI MENSUAL'!$F$63+'[1]AI MENSUAL'!$G$63+'[1]AI MENSUAL'!$H$63+'[1]AI MENSUAL'!$I$63+'[1]AI MENSUAL'!$J$63+'[1]AI MENSUAL'!$K$63+'[1]AI MENSUAL'!$L$63+'[1]AI MENSUAL'!$M$63+'[1]AI MENSUAL'!$N$63+'[1]AI MENSUAL'!$O$63</f>
        <v>0.81</v>
      </c>
      <c r="E27" s="51">
        <v>603738.4</v>
      </c>
      <c r="F27" s="185">
        <f t="shared" si="6"/>
        <v>0.89929221698759965</v>
      </c>
      <c r="G27" s="53">
        <f t="shared" si="7"/>
        <v>67610.010000000009</v>
      </c>
      <c r="H27" s="53">
        <f>7426.13+60184.86</f>
        <v>67610.990000000005</v>
      </c>
      <c r="I27" s="53">
        <v>0</v>
      </c>
      <c r="J27" s="53">
        <v>0</v>
      </c>
      <c r="K27" s="53">
        <f t="shared" si="5"/>
        <v>67610.990000000005</v>
      </c>
      <c r="L27" s="185">
        <f t="shared" si="1"/>
        <v>0.94456623433515341</v>
      </c>
      <c r="M27" s="12"/>
    </row>
    <row r="28" spans="1:15" ht="15.75" customHeight="1" x14ac:dyDescent="0.25">
      <c r="A28" s="17" t="s">
        <v>94</v>
      </c>
      <c r="B28" s="51">
        <v>1325120</v>
      </c>
      <c r="C28" s="51">
        <f>'[1]AI MENSUAL'!$F$58+'[1]AI MENSUAL'!$G$58+'[1]AI MENSUAL'!$H$58+'[1]AI MENSUAL'!$I$58+'[1]AI MENSUAL'!$J$58+'[1]AI MENSUAL'!$K$58+'[1]AI MENSUAL'!$L$58+'[1]AI MENSUAL'!$M$58+'[1]AI MENSUAL'!$N$58+'[1]AI MENSUAL'!$O$58</f>
        <v>1128804.23</v>
      </c>
      <c r="D28" s="51">
        <f>'[1]AI MENSUAL'!$F$59+'[1]AI MENSUAL'!$G$59+'[1]AI MENSUAL'!$H$59+'[1]AI MENSUAL'!$I$59+'[1]AI MENSUAL'!$J$59+'[1]AI MENSUAL'!$K$59+'[1]AI MENSUAL'!$L$59+'[1]AI MENSUAL'!$M$59+'[1]AI MENSUAL'!$N$59+'[1]AI MENSUAL'!$O$59</f>
        <v>5.41</v>
      </c>
      <c r="E28" s="51">
        <f>'[2]IEPS GAS'!$G$11+'[2]IEPS GAS'!$H$11+'[2]IEPS GAS'!$I$11+'[2]IEPS GAS'!$J$11+'[2]IEPS GAS'!$K$11+'[2]IEPS GAS'!$L$11+'[2]IEPS GAS'!$M$11+'[2]IEPS GAS'!$N$11+'[2]IEPS GAS'!$O$11+'[2]IEPS GAS'!$P$11</f>
        <v>1065653.1400000001</v>
      </c>
      <c r="F28" s="185">
        <f t="shared" si="6"/>
        <v>0.9440548783202205</v>
      </c>
      <c r="G28" s="53">
        <f t="shared" si="7"/>
        <v>63151.089999999851</v>
      </c>
      <c r="H28" s="53">
        <f>1787.45+61369.57</f>
        <v>63157.02</v>
      </c>
      <c r="I28" s="53">
        <v>0</v>
      </c>
      <c r="J28" s="53">
        <v>0</v>
      </c>
      <c r="K28" s="53">
        <f t="shared" si="5"/>
        <v>63157.02</v>
      </c>
      <c r="L28" s="185">
        <f t="shared" si="1"/>
        <v>0.80419368811881198</v>
      </c>
      <c r="M28" s="12"/>
    </row>
    <row r="29" spans="1:15" ht="15.75" customHeight="1" x14ac:dyDescent="0.25">
      <c r="A29" s="17" t="s">
        <v>92</v>
      </c>
      <c r="B29" s="51">
        <v>50110</v>
      </c>
      <c r="C29" s="51">
        <f>'[1]AI MENSUAL'!$F$70+'[1]AI MENSUAL'!$G$70+'[1]AI MENSUAL'!$H$70+'[1]AI MENSUAL'!$I$70+'[1]AI MENSUAL'!$J$70+'[1]AI MENSUAL'!$K$70+'[1]AI MENSUAL'!$L$70+'[1]AI MENSUAL'!$M$70+'[1]AI MENSUAL'!$N$70+'[1]AI MENSUAL'!$O$70</f>
        <v>79558.000000000015</v>
      </c>
      <c r="D29" s="51">
        <f>'[1]AI MENSUAL'!$F$71+'[1]AI MENSUAL'!$G$71+'[1]AI MENSUAL'!$H$71+'[1]AI MENSUAL'!$I$71+'[1]AI MENSUAL'!$J$71+'[1]AI MENSUAL'!$K$71+'[1]AI MENSUAL'!$L$71+'[1]AI MENSUAL'!$M$71+'[1]AI MENSUAL'!$N$71+'[1]AI MENSUAL'!$O$71</f>
        <v>0.54999999999999993</v>
      </c>
      <c r="E29" s="51">
        <f>[2]CISAN!$G$11+[2]CISAN!$H$11+[2]CISAN!$I$11+[2]CISAN!$J$11+[2]CISAN!$K$11+[2]CISAN!$L$11+[2]CISAN!$M$11+[2]CISAN!$N$11+[2]CISAN!$O$11+[2]CISAN!$P$11</f>
        <v>45482.27</v>
      </c>
      <c r="F29" s="185">
        <f t="shared" si="6"/>
        <v>0.57168694537318676</v>
      </c>
      <c r="G29" s="53">
        <f t="shared" si="7"/>
        <v>34075.730000000018</v>
      </c>
      <c r="H29" s="53">
        <f>18164.69+15911.61</f>
        <v>34076.300000000003</v>
      </c>
      <c r="I29" s="53">
        <v>0</v>
      </c>
      <c r="J29" s="53">
        <v>0</v>
      </c>
      <c r="K29" s="53">
        <f t="shared" si="5"/>
        <v>34076.300000000003</v>
      </c>
      <c r="L29" s="185">
        <f t="shared" si="1"/>
        <v>0.90764857313909397</v>
      </c>
      <c r="M29" s="12"/>
    </row>
    <row r="30" spans="1:15" ht="15.75" customHeight="1" x14ac:dyDescent="0.25">
      <c r="A30" s="17" t="s">
        <v>93</v>
      </c>
      <c r="B30" s="51">
        <v>227299</v>
      </c>
      <c r="C30" s="51">
        <f>'[1]AI MENSUAL'!$F$67+'[1]AI MENSUAL'!$G$67+'[1]AI MENSUAL'!$H$67+'[1]AI MENSUAL'!$I$67+'[1]AI MENSUAL'!$J$67+'[1]AI MENSUAL'!$K$67+'[1]AI MENSUAL'!$L$67+'[1]AI MENSUAL'!$M$67+'[1]AI MENSUAL'!$N$67+'[1]AI MENSUAL'!$O$67</f>
        <v>512684.77999999997</v>
      </c>
      <c r="D30" s="51">
        <f>'[1]AI MENSUAL'!$F$68+'[1]AI MENSUAL'!$G$68+'[1]AI MENSUAL'!$H$68+'[1]AI MENSUAL'!$I$68+'[1]AI MENSUAL'!$J$68+'[1]AI MENSUAL'!$K$68+'[1]AI MENSUAL'!$L$68+'[1]AI MENSUAL'!$M$68+'[1]AI MENSUAL'!$N$68+'[1]AI MENSUAL'!$O$68</f>
        <v>2.33</v>
      </c>
      <c r="E30" s="51">
        <f>[2]ISAN!$G$11+[2]ISAN!$H$11+[2]ISAN!$I$11+[2]ISAN!$J$11+[2]ISAN!$K$11+[2]ISAN!$L$11+[2]ISAN!$M$11+[2]ISAN!$N$11+[2]ISAN!$O$11+[2]ISAN!$P$11</f>
        <v>456744.77999999997</v>
      </c>
      <c r="F30" s="185">
        <f>E30/C30</f>
        <v>0.8908881203768132</v>
      </c>
      <c r="G30" s="53">
        <f>C30-E30</f>
        <v>55940</v>
      </c>
      <c r="H30" s="53">
        <f>55943.09</f>
        <v>55943.09</v>
      </c>
      <c r="I30" s="53">
        <v>0</v>
      </c>
      <c r="J30" s="53">
        <v>0</v>
      </c>
      <c r="K30" s="53">
        <f t="shared" si="5"/>
        <v>55943.09</v>
      </c>
      <c r="L30" s="185">
        <f>E30/B30</f>
        <v>2.0094447401880342</v>
      </c>
      <c r="M30" s="12"/>
    </row>
    <row r="31" spans="1:15" ht="15.75" customHeight="1" x14ac:dyDescent="0.25">
      <c r="A31" s="17" t="s">
        <v>95</v>
      </c>
      <c r="B31" s="51">
        <v>0</v>
      </c>
      <c r="C31" s="51">
        <f>'[1]AI MENSUAL'!$F$95+'[1]AI MENSUAL'!$G$95+'[1]AI MENSUAL'!$H$95+'[1]AI MENSUAL'!$I$95+'[1]AI MENSUAL'!$J$95+'[1]AI MENSUAL'!$K$95+'[1]AI MENSUAL'!$L$95+'[1]AI MENSUAL'!$M$95+'[1]AI MENSUAL'!$N$95+'[1]AI MENSUAL'!$O$95</f>
        <v>40611</v>
      </c>
      <c r="D31" s="51">
        <f>'[1]AI MENSUAL'!$F$96+'[1]AI MENSUAL'!$G$96+'[1]AI MENSUAL'!$H$96+'[1]AI MENSUAL'!$I$96+'[1]AI MENSUAL'!$J$96+'[1]AI MENSUAL'!$K$96+'[1]AI MENSUAL'!$L$96+'[1]AI MENSUAL'!$M$96+'[1]AI MENSUAL'!$N$96+'[1]AI MENSUAL'!$O$96</f>
        <v>0.36</v>
      </c>
      <c r="E31" s="51">
        <f>[2]PRODDER!$G$12+[2]PRODDER!$H$12+[2]PRODDER!$I$12+[2]PRODDER!$J$12+[2]PRODDER!$K$12+[2]PRODDER!$L$12+[2]PRODDER!$M$12+[2]PRODDER!$N$12+[2]PRODDER!$O$12+[2]PRODDER!$P$12</f>
        <v>81222.64</v>
      </c>
      <c r="F31" s="185">
        <v>0</v>
      </c>
      <c r="G31" s="53">
        <f t="shared" si="7"/>
        <v>-40611.64</v>
      </c>
      <c r="H31" s="53">
        <f>0.36</f>
        <v>0.36</v>
      </c>
      <c r="I31" s="53">
        <v>0</v>
      </c>
      <c r="J31" s="53">
        <v>0</v>
      </c>
      <c r="K31" s="53">
        <f t="shared" ref="K31:K33" si="8">+H31+I31-J31</f>
        <v>0.36</v>
      </c>
      <c r="L31" s="185">
        <v>0</v>
      </c>
      <c r="M31" s="12"/>
    </row>
    <row r="32" spans="1:15" ht="15.75" customHeight="1" x14ac:dyDescent="0.25">
      <c r="A32" s="17" t="s">
        <v>27</v>
      </c>
      <c r="B32" s="51">
        <v>0</v>
      </c>
      <c r="C32" s="51">
        <f>'[1]AI MENSUAL'!$F$89+'[1]AI MENSUAL'!$G$89+'[1]AI MENSUAL'!$H$89+'[1]AI MENSUAL'!$I$89+'[1]AI MENSUAL'!$J$89+'[1]AI MENSUAL'!$K$89+'[1]AI MENSUAL'!$L$89+'[1]AI MENSUAL'!$M$89+'[1]AI MENSUAL'!$N$89+'[1]AI MENSUAL'!$O$89</f>
        <v>4969470</v>
      </c>
      <c r="D32" s="51">
        <f>'[1]AI MENSUAL'!$F$90+'[1]AI MENSUAL'!$G$90+'[1]AI MENSUAL'!$H$90+'[1]AI MENSUAL'!$I$90+'[1]AI MENSUAL'!$J$90+'[1]AI MENSUAL'!$K$90+'[1]AI MENSUAL'!$L$90+'[1]AI MENSUAL'!$M$90+'[1]AI MENSUAL'!$N$90+'[1]AI MENSUAL'!$O$90</f>
        <v>112.28</v>
      </c>
      <c r="E32" s="51">
        <f>[2]ISR!$G$47+[2]ISR!$H$47+[2]ISR!$I$47+[2]ISR!$J$47+[2]ISR!$K$47+[2]ISR!$L$47+[2]ISR!$M$47+[2]ISR!$N$47+[2]ISR!$O$47+[2]ISR!$P$47</f>
        <v>4456177.0200000005</v>
      </c>
      <c r="F32" s="185">
        <f>E32/C32</f>
        <v>0.89671071965420868</v>
      </c>
      <c r="G32" s="53">
        <f>C32-E32</f>
        <v>513292.97999999952</v>
      </c>
      <c r="H32" s="53">
        <f>25817.55+487591.14</f>
        <v>513408.69</v>
      </c>
      <c r="I32" s="53">
        <v>0</v>
      </c>
      <c r="J32" s="53">
        <v>0</v>
      </c>
      <c r="K32" s="53">
        <f t="shared" si="8"/>
        <v>513408.69</v>
      </c>
      <c r="L32" s="185">
        <v>0</v>
      </c>
      <c r="M32" s="12"/>
    </row>
    <row r="33" spans="1:13" ht="15.75" customHeight="1" x14ac:dyDescent="0.25">
      <c r="A33" s="17" t="s">
        <v>116</v>
      </c>
      <c r="B33" s="51">
        <v>0</v>
      </c>
      <c r="C33" s="51">
        <f>'[1]AI MENSUAL'!$O$108</f>
        <v>1190687.32</v>
      </c>
      <c r="D33" s="51">
        <v>0</v>
      </c>
      <c r="E33" s="51">
        <v>0</v>
      </c>
      <c r="F33" s="185">
        <f>E33/C33</f>
        <v>0</v>
      </c>
      <c r="G33" s="53">
        <f>C33-E33</f>
        <v>1190687.32</v>
      </c>
      <c r="H33" s="53">
        <v>1190687.32</v>
      </c>
      <c r="I33" s="53">
        <v>0</v>
      </c>
      <c r="J33" s="53">
        <v>658901.18000000005</v>
      </c>
      <c r="K33" s="53">
        <f t="shared" si="8"/>
        <v>531786.14</v>
      </c>
      <c r="L33" s="185">
        <v>0</v>
      </c>
      <c r="M33" s="12"/>
    </row>
    <row r="34" spans="1:13" ht="15.75" customHeight="1" x14ac:dyDescent="0.25">
      <c r="A34" s="13" t="s">
        <v>97</v>
      </c>
      <c r="B34" s="52">
        <f>SUM(B36:B46)</f>
        <v>0</v>
      </c>
      <c r="C34" s="52">
        <f>SUM(C35:C47)</f>
        <v>0</v>
      </c>
      <c r="D34" s="52">
        <f>SUM(D35:D47)</f>
        <v>594.92000000000007</v>
      </c>
      <c r="E34" s="52">
        <f>SUM(E35:E47)</f>
        <v>0</v>
      </c>
      <c r="F34" s="184">
        <v>0</v>
      </c>
      <c r="G34" s="54">
        <f>C34-E34</f>
        <v>0</v>
      </c>
      <c r="H34" s="52">
        <f>SUM(H35:H47)</f>
        <v>62134.18</v>
      </c>
      <c r="I34" s="52">
        <f>SUM(I35:I47)</f>
        <v>0</v>
      </c>
      <c r="J34" s="52">
        <f>SUM(J35:J47)</f>
        <v>0</v>
      </c>
      <c r="K34" s="52">
        <f>SUM(K35:K47)</f>
        <v>62134.18</v>
      </c>
      <c r="L34" s="184">
        <v>0</v>
      </c>
      <c r="M34" s="12"/>
    </row>
    <row r="35" spans="1:13" ht="15.75" customHeight="1" x14ac:dyDescent="0.25">
      <c r="A35" s="17" t="s">
        <v>99</v>
      </c>
      <c r="B35" s="51">
        <v>0</v>
      </c>
      <c r="C35" s="51">
        <v>0</v>
      </c>
      <c r="D35" s="51">
        <v>0</v>
      </c>
      <c r="E35" s="51">
        <v>0</v>
      </c>
      <c r="F35" s="185">
        <v>0</v>
      </c>
      <c r="G35" s="53">
        <f>C35-E35</f>
        <v>0</v>
      </c>
      <c r="H35" s="53">
        <v>61977.56</v>
      </c>
      <c r="I35" s="53">
        <v>0</v>
      </c>
      <c r="J35" s="53">
        <v>0</v>
      </c>
      <c r="K35" s="53">
        <f>+H35+I35-J35</f>
        <v>61977.56</v>
      </c>
      <c r="L35" s="185">
        <v>0</v>
      </c>
      <c r="M35" s="12"/>
    </row>
    <row r="36" spans="1:13" ht="15.75" customHeight="1" x14ac:dyDescent="0.25">
      <c r="A36" s="17" t="s">
        <v>23</v>
      </c>
      <c r="B36" s="51">
        <v>0</v>
      </c>
      <c r="C36" s="51">
        <v>0</v>
      </c>
      <c r="D36" s="51">
        <f>'[1]AI MENSUAL'!$F$54+'[1]AI MENSUAL'!$G$54+'[1]AI MENSUAL'!$H$54+'[1]AI MENSUAL'!$I$54+'[1]AI MENSUAL'!$J$54+'[1]AI MENSUAL'!$K$54+'[1]AI MENSUAL'!$L$54+'[1]AI MENSUAL'!$M$54+'[1]AI MENSUAL'!$N$60+'[1]AI MENSUAL'!$N$54+'[1]AI MENSUAL'!$O$54</f>
        <v>123.86000000000003</v>
      </c>
      <c r="E36" s="51">
        <v>0</v>
      </c>
      <c r="F36" s="185">
        <v>0</v>
      </c>
      <c r="G36" s="53">
        <f>C36-E36</f>
        <v>0</v>
      </c>
      <c r="H36" s="53">
        <v>156.62</v>
      </c>
      <c r="I36" s="53">
        <v>0</v>
      </c>
      <c r="J36" s="53">
        <v>0</v>
      </c>
      <c r="K36" s="53">
        <f>+H36+I36-J36</f>
        <v>156.62</v>
      </c>
      <c r="L36" s="185">
        <v>0</v>
      </c>
      <c r="M36" s="12"/>
    </row>
    <row r="37" spans="1:13" ht="15.75" customHeight="1" x14ac:dyDescent="0.25">
      <c r="A37" s="17" t="s">
        <v>24</v>
      </c>
      <c r="B37" s="51">
        <v>0</v>
      </c>
      <c r="C37" s="51">
        <v>0</v>
      </c>
      <c r="D37" s="51">
        <f>'[1]AI MENSUAL'!$F$103+'[1]AI MENSUAL'!$G$103+'[1]AI MENSUAL'!$H$103+'[1]AI MENSUAL'!$I$103+'[1]AI MENSUAL'!$J$103+'[1]AI MENSUAL'!$L$103+'[1]AI MENSUAL'!$M$103+'[1]AI MENSUAL'!$N$103+'[1]AI MENSUAL'!$O$103</f>
        <v>402.27000000000004</v>
      </c>
      <c r="E37" s="51">
        <v>0</v>
      </c>
      <c r="F37" s="185">
        <v>0</v>
      </c>
      <c r="G37" s="53">
        <f t="shared" ref="G37:G60" si="9">C37-E37</f>
        <v>0</v>
      </c>
      <c r="H37" s="53">
        <v>0</v>
      </c>
      <c r="I37" s="53">
        <v>0</v>
      </c>
      <c r="J37" s="53">
        <v>0</v>
      </c>
      <c r="K37" s="53">
        <f t="shared" ref="K37:K45" si="10">+H37+I37-J37</f>
        <v>0</v>
      </c>
      <c r="L37" s="185">
        <v>0</v>
      </c>
      <c r="M37" s="12"/>
    </row>
    <row r="38" spans="1:13" ht="15.75" customHeight="1" x14ac:dyDescent="0.25">
      <c r="A38" s="17" t="s">
        <v>25</v>
      </c>
      <c r="B38" s="51">
        <v>0</v>
      </c>
      <c r="C38" s="51">
        <v>0</v>
      </c>
      <c r="D38" s="51">
        <f>'[1]AI MENSUAL'!$F$106+'[1]AI MENSUAL'!$G$106+'[1]AI MENSUAL'!$H$106+'[1]AI MENSUAL'!$I$106+'[1]AI MENSUAL'!$J$106+'[1]AI MENSUAL'!$K$106+'[1]AI MENSUAL'!$L$106+'[1]AI MENSUAL'!$M$106+'[1]AI MENSUAL'!$N$106+'[1]AI MENSUAL'!$O$106</f>
        <v>40.109999999999992</v>
      </c>
      <c r="E38" s="51">
        <v>0</v>
      </c>
      <c r="F38" s="185">
        <v>0</v>
      </c>
      <c r="G38" s="53">
        <f t="shared" si="9"/>
        <v>0</v>
      </c>
      <c r="H38" s="53">
        <v>0</v>
      </c>
      <c r="I38" s="53">
        <v>0</v>
      </c>
      <c r="J38" s="53">
        <v>0</v>
      </c>
      <c r="K38" s="53">
        <f t="shared" si="10"/>
        <v>0</v>
      </c>
      <c r="L38" s="185">
        <v>0</v>
      </c>
      <c r="M38" s="12"/>
    </row>
    <row r="39" spans="1:13" ht="15.75" customHeight="1" x14ac:dyDescent="0.25">
      <c r="A39" s="17" t="s">
        <v>26</v>
      </c>
      <c r="B39" s="51">
        <v>0</v>
      </c>
      <c r="C39" s="51">
        <v>0</v>
      </c>
      <c r="D39" s="51">
        <f>'[1]AI MENSUAL'!$F$79+'[1]AI MENSUAL'!$G$79+'[1]AI MENSUAL'!$H$79+'[1]AI MENSUAL'!$I$79+'[1]AI MENSUAL'!$J$79+'[1]AI MENSUAL'!$K$79+'[1]AI MENSUAL'!$L$79+'[1]AI MENSUAL'!$M$79+'[1]AI MENSUAL'!$O$79</f>
        <v>6.5200000000000005</v>
      </c>
      <c r="E39" s="51">
        <v>0</v>
      </c>
      <c r="F39" s="185">
        <v>0</v>
      </c>
      <c r="G39" s="53">
        <f t="shared" si="9"/>
        <v>0</v>
      </c>
      <c r="H39" s="53">
        <v>0</v>
      </c>
      <c r="I39" s="53">
        <v>0</v>
      </c>
      <c r="J39" s="53">
        <v>0</v>
      </c>
      <c r="K39" s="53">
        <f t="shared" si="10"/>
        <v>0</v>
      </c>
      <c r="L39" s="185">
        <v>0</v>
      </c>
      <c r="M39" s="12"/>
    </row>
    <row r="40" spans="1:13" ht="15.75" customHeight="1" x14ac:dyDescent="0.25">
      <c r="A40" s="17" t="s">
        <v>90</v>
      </c>
      <c r="B40" s="51">
        <v>0</v>
      </c>
      <c r="C40" s="51">
        <v>0</v>
      </c>
      <c r="D40" s="51">
        <f>'[1]AI MENSUAL'!$F$50+'[1]AI MENSUAL'!$G$50+'[1]AI MENSUAL'!$H$50+'[1]AI MENSUAL'!$I$50+'[1]AI MENSUAL'!$J$50+'[1]AI MENSUAL'!$K$50+'[1]AI MENSUAL'!$M$50+'[1]AI MENSUAL'!$N$50+'[1]AI MENSUAL'!$O$50</f>
        <v>16.68</v>
      </c>
      <c r="E40" s="51">
        <v>0</v>
      </c>
      <c r="F40" s="185">
        <v>0</v>
      </c>
      <c r="G40" s="53">
        <f t="shared" si="9"/>
        <v>0</v>
      </c>
      <c r="H40" s="53">
        <v>0</v>
      </c>
      <c r="I40" s="53">
        <v>0</v>
      </c>
      <c r="J40" s="53">
        <v>0</v>
      </c>
      <c r="K40" s="53">
        <f t="shared" si="10"/>
        <v>0</v>
      </c>
      <c r="L40" s="185">
        <v>0</v>
      </c>
      <c r="M40" s="12"/>
    </row>
    <row r="41" spans="1:13" ht="15.75" customHeight="1" x14ac:dyDescent="0.25">
      <c r="A41" s="17" t="s">
        <v>91</v>
      </c>
      <c r="B41" s="51">
        <v>0</v>
      </c>
      <c r="C41" s="51">
        <v>0</v>
      </c>
      <c r="D41" s="51">
        <f>'[1]AI MENSUAL'!$F$64+'[1]AI MENSUAL'!$G$64+'[1]AI MENSUAL'!$H$64+'[1]AI MENSUAL'!$I$64+'[1]AI MENSUAL'!$J$64+'[1]AI MENSUAL'!$K$64+'[1]AI MENSUAL'!$L$64+'[1]AI MENSUAL'!$M$64+'[1]AI MENSUAL'!$N$64+'[1]AI MENSUAL'!$O$64</f>
        <v>0.2</v>
      </c>
      <c r="E41" s="51">
        <v>0</v>
      </c>
      <c r="F41" s="185">
        <v>0</v>
      </c>
      <c r="G41" s="53">
        <f t="shared" si="9"/>
        <v>0</v>
      </c>
      <c r="H41" s="53">
        <v>0</v>
      </c>
      <c r="I41" s="53">
        <v>0</v>
      </c>
      <c r="J41" s="53">
        <v>0</v>
      </c>
      <c r="K41" s="53">
        <f t="shared" si="10"/>
        <v>0</v>
      </c>
      <c r="L41" s="185">
        <v>0</v>
      </c>
      <c r="M41" s="12"/>
    </row>
    <row r="42" spans="1:13" ht="15.75" customHeight="1" x14ac:dyDescent="0.25">
      <c r="A42" s="17" t="s">
        <v>94</v>
      </c>
      <c r="B42" s="51">
        <v>0</v>
      </c>
      <c r="C42" s="51">
        <v>0</v>
      </c>
      <c r="D42" s="51">
        <f>'[1]AI MENSUAL'!$F$60+'[1]AI MENSUAL'!$G$60+'[1]AI MENSUAL'!$H$60+'[1]AI MENSUAL'!$I$60+'[1]AI MENSUAL'!$J$60+'[1]AI MENSUAL'!$K$60+'[1]AI MENSUAL'!$L$60+'[1]AI MENSUAL'!$M$60+'[1]AI MENSUAL'!$N$60+'[1]AI MENSUAL'!$O$60</f>
        <v>0.49</v>
      </c>
      <c r="E42" s="51">
        <v>0</v>
      </c>
      <c r="F42" s="185">
        <v>0</v>
      </c>
      <c r="G42" s="53">
        <f t="shared" si="9"/>
        <v>0</v>
      </c>
      <c r="H42" s="53">
        <v>0</v>
      </c>
      <c r="I42" s="53">
        <v>0</v>
      </c>
      <c r="J42" s="53">
        <v>0</v>
      </c>
      <c r="K42" s="53">
        <f t="shared" si="10"/>
        <v>0</v>
      </c>
      <c r="L42" s="185">
        <v>0</v>
      </c>
      <c r="M42" s="12"/>
    </row>
    <row r="43" spans="1:13" ht="15.75" customHeight="1" x14ac:dyDescent="0.25">
      <c r="A43" s="17" t="s">
        <v>92</v>
      </c>
      <c r="B43" s="51">
        <v>0</v>
      </c>
      <c r="C43" s="51">
        <v>0</v>
      </c>
      <c r="D43" s="51">
        <f>'[1]AI MENSUAL'!$F$72+'[1]AI MENSUAL'!$G$72+'[1]AI MENSUAL'!$H$72+'[1]AI MENSUAL'!$I$72+'[1]AI MENSUAL'!$J$72+'[1]AI MENSUAL'!$K$72+'[1]AI MENSUAL'!$L$72+'[1]AI MENSUAL'!$M$72+'[1]AI MENSUAL'!$N$72+'[1]AI MENSUAL'!$O$72</f>
        <v>0.02</v>
      </c>
      <c r="E43" s="51">
        <v>0</v>
      </c>
      <c r="F43" s="185">
        <v>0</v>
      </c>
      <c r="G43" s="53">
        <f t="shared" si="9"/>
        <v>0</v>
      </c>
      <c r="H43" s="53">
        <v>0</v>
      </c>
      <c r="I43" s="53">
        <v>0</v>
      </c>
      <c r="J43" s="53">
        <v>0</v>
      </c>
      <c r="K43" s="53">
        <f t="shared" si="10"/>
        <v>0</v>
      </c>
      <c r="L43" s="185">
        <v>0</v>
      </c>
      <c r="M43" s="12"/>
    </row>
    <row r="44" spans="1:13" ht="15.75" customHeight="1" x14ac:dyDescent="0.25">
      <c r="A44" s="17" t="s">
        <v>93</v>
      </c>
      <c r="B44" s="51">
        <v>0</v>
      </c>
      <c r="C44" s="51">
        <v>0</v>
      </c>
      <c r="D44" s="51">
        <f>'[1]AI MENSUAL'!$F$69+'[1]AI MENSUAL'!$G$69+'[1]AI MENSUAL'!$H$69+'[1]AI MENSUAL'!$I$69+'[1]AI MENSUAL'!$J$69+'[1]AI MENSUAL'!$K$69+'[1]AI MENSUAL'!$L$69+'[1]AI MENSUAL'!$M$69+'[1]AI MENSUAL'!$N$69+'[1]AI MENSUAL'!$O$69</f>
        <v>0.76</v>
      </c>
      <c r="E44" s="51">
        <v>0</v>
      </c>
      <c r="F44" s="185">
        <v>0</v>
      </c>
      <c r="G44" s="53">
        <f t="shared" si="9"/>
        <v>0</v>
      </c>
      <c r="H44" s="53">
        <v>0</v>
      </c>
      <c r="I44" s="53">
        <v>0</v>
      </c>
      <c r="J44" s="53">
        <v>0</v>
      </c>
      <c r="K44" s="53">
        <f t="shared" si="10"/>
        <v>0</v>
      </c>
      <c r="L44" s="185">
        <v>0</v>
      </c>
      <c r="M44" s="12"/>
    </row>
    <row r="45" spans="1:13" ht="15.75" customHeight="1" x14ac:dyDescent="0.25">
      <c r="A45" s="17" t="s">
        <v>95</v>
      </c>
      <c r="B45" s="51">
        <v>0</v>
      </c>
      <c r="C45" s="51">
        <v>0</v>
      </c>
      <c r="D45" s="51">
        <f>'[1]AI MENSUAL'!$F$97+'[1]AI MENSUAL'!$G$97+'[1]AI MENSUAL'!$H$97+'[1]AI MENSUAL'!$I$97+'[1]AI MENSUAL'!$J$97+'[1]AI MENSUAL'!$K$97+'[1]AI MENSUAL'!$L$97+'[1]AI MENSUAL'!$M$97+'[1]AI MENSUAL'!$N$97+'[1]AI MENSUAL'!$O$97</f>
        <v>0.58000000000000007</v>
      </c>
      <c r="E45" s="51">
        <v>0</v>
      </c>
      <c r="F45" s="185">
        <v>0</v>
      </c>
      <c r="G45" s="53">
        <f t="shared" si="9"/>
        <v>0</v>
      </c>
      <c r="H45" s="53">
        <v>0</v>
      </c>
      <c r="I45" s="53">
        <v>0</v>
      </c>
      <c r="J45" s="53">
        <v>0</v>
      </c>
      <c r="K45" s="53">
        <f t="shared" si="10"/>
        <v>0</v>
      </c>
      <c r="L45" s="185">
        <v>0</v>
      </c>
      <c r="M45" s="12"/>
    </row>
    <row r="46" spans="1:13" ht="15.75" customHeight="1" x14ac:dyDescent="0.25">
      <c r="A46" s="17" t="s">
        <v>27</v>
      </c>
      <c r="B46" s="51">
        <v>0</v>
      </c>
      <c r="C46" s="51">
        <v>0</v>
      </c>
      <c r="D46" s="51">
        <f>'[1]AI MENSUAL'!$F$91+'[1]AI MENSUAL'!$G$91+'[1]AI MENSUAL'!$H$91+'[1]AI MENSUAL'!$I$91+'[1]AI MENSUAL'!$J$91+'[1]AI MENSUAL'!$K$91+'[1]AI MENSUAL'!$L$91+'[1]AI MENSUAL'!$M$91+'[1]AI MENSUAL'!$N$91+'[1]AI MENSUAL'!$O$91</f>
        <v>3.4299999999999997</v>
      </c>
      <c r="E46" s="51">
        <v>0</v>
      </c>
      <c r="F46" s="185">
        <v>0</v>
      </c>
      <c r="G46" s="53">
        <f t="shared" si="9"/>
        <v>0</v>
      </c>
      <c r="H46" s="53">
        <v>0</v>
      </c>
      <c r="I46" s="53">
        <v>0</v>
      </c>
      <c r="J46" s="53">
        <v>0</v>
      </c>
      <c r="K46" s="53">
        <f>+H46+I46-J46</f>
        <v>0</v>
      </c>
      <c r="L46" s="185">
        <v>0</v>
      </c>
      <c r="M46" s="12"/>
    </row>
    <row r="47" spans="1:13" ht="15.75" customHeight="1" x14ac:dyDescent="0.25">
      <c r="A47" s="17" t="s">
        <v>115</v>
      </c>
      <c r="B47" s="51">
        <v>0</v>
      </c>
      <c r="C47" s="51">
        <v>0</v>
      </c>
      <c r="D47" s="51">
        <v>0</v>
      </c>
      <c r="E47" s="51">
        <v>0</v>
      </c>
      <c r="F47" s="185">
        <v>0</v>
      </c>
      <c r="G47" s="53">
        <f t="shared" si="9"/>
        <v>0</v>
      </c>
      <c r="H47" s="53">
        <v>0</v>
      </c>
      <c r="I47" s="53">
        <v>0</v>
      </c>
      <c r="J47" s="53">
        <v>0</v>
      </c>
      <c r="K47" s="53">
        <f>+H47+I47-J47</f>
        <v>0</v>
      </c>
      <c r="L47" s="185">
        <v>0</v>
      </c>
      <c r="M47" s="12"/>
    </row>
    <row r="48" spans="1:13" ht="15.75" customHeight="1" x14ac:dyDescent="0.25">
      <c r="A48" s="13" t="s">
        <v>98</v>
      </c>
      <c r="B48" s="52">
        <f>SUM(B49:B53)</f>
        <v>0</v>
      </c>
      <c r="C48" s="52">
        <f>SUM(C49:C53)</f>
        <v>0</v>
      </c>
      <c r="D48" s="52">
        <f>SUM(D49:D53)</f>
        <v>0</v>
      </c>
      <c r="E48" s="52">
        <f>SUM(E49:E53)</f>
        <v>0</v>
      </c>
      <c r="F48" s="184">
        <v>0</v>
      </c>
      <c r="G48" s="54">
        <f t="shared" si="9"/>
        <v>0</v>
      </c>
      <c r="H48" s="52">
        <f>SUM(H49:H53)</f>
        <v>0</v>
      </c>
      <c r="I48" s="52">
        <f t="shared" ref="I48:J48" si="11">SUM(I49:I53)</f>
        <v>0</v>
      </c>
      <c r="J48" s="52">
        <f t="shared" si="11"/>
        <v>0</v>
      </c>
      <c r="K48" s="52">
        <f>SUM(K49:K53)</f>
        <v>0</v>
      </c>
      <c r="L48" s="184">
        <v>0</v>
      </c>
      <c r="M48" s="12"/>
    </row>
    <row r="49" spans="1:13" ht="15.75" customHeight="1" x14ac:dyDescent="0.25">
      <c r="A49" s="17" t="s">
        <v>99</v>
      </c>
      <c r="B49" s="51">
        <v>0</v>
      </c>
      <c r="C49" s="51">
        <v>0</v>
      </c>
      <c r="D49" s="51">
        <v>0</v>
      </c>
      <c r="E49" s="51">
        <v>0</v>
      </c>
      <c r="F49" s="185">
        <v>0</v>
      </c>
      <c r="G49" s="53">
        <f t="shared" si="9"/>
        <v>0</v>
      </c>
      <c r="H49" s="53">
        <v>0</v>
      </c>
      <c r="I49" s="53">
        <v>0</v>
      </c>
      <c r="J49" s="53">
        <v>0</v>
      </c>
      <c r="K49" s="53">
        <f t="shared" ref="K49:K51" si="12">+H49+I49-J49</f>
        <v>0</v>
      </c>
      <c r="L49" s="185">
        <v>0</v>
      </c>
      <c r="M49" s="12"/>
    </row>
    <row r="50" spans="1:13" ht="15.75" customHeight="1" x14ac:dyDescent="0.25">
      <c r="A50" s="17" t="s">
        <v>23</v>
      </c>
      <c r="B50" s="51">
        <v>0</v>
      </c>
      <c r="C50" s="51">
        <v>0</v>
      </c>
      <c r="D50" s="51">
        <v>0</v>
      </c>
      <c r="E50" s="51">
        <v>0</v>
      </c>
      <c r="F50" s="185">
        <v>0</v>
      </c>
      <c r="G50" s="53">
        <f t="shared" si="9"/>
        <v>0</v>
      </c>
      <c r="H50" s="53">
        <v>0</v>
      </c>
      <c r="I50" s="53">
        <v>0</v>
      </c>
      <c r="J50" s="53">
        <v>0</v>
      </c>
      <c r="K50" s="53">
        <f t="shared" si="12"/>
        <v>0</v>
      </c>
      <c r="L50" s="185">
        <v>0</v>
      </c>
      <c r="M50" s="12"/>
    </row>
    <row r="51" spans="1:13" ht="15.75" customHeight="1" x14ac:dyDescent="0.25">
      <c r="A51" s="17" t="s">
        <v>25</v>
      </c>
      <c r="B51" s="51">
        <v>0</v>
      </c>
      <c r="C51" s="51">
        <v>0</v>
      </c>
      <c r="D51" s="51">
        <v>0</v>
      </c>
      <c r="E51" s="51">
        <v>0</v>
      </c>
      <c r="F51" s="185">
        <v>0</v>
      </c>
      <c r="G51" s="53">
        <f t="shared" si="9"/>
        <v>0</v>
      </c>
      <c r="H51" s="53">
        <v>0</v>
      </c>
      <c r="I51" s="53">
        <v>0</v>
      </c>
      <c r="J51" s="53">
        <v>0</v>
      </c>
      <c r="K51" s="53">
        <f t="shared" si="12"/>
        <v>0</v>
      </c>
      <c r="L51" s="185">
        <v>0</v>
      </c>
      <c r="M51" s="12"/>
    </row>
    <row r="52" spans="1:13" ht="15.75" customHeight="1" x14ac:dyDescent="0.25">
      <c r="A52" s="17" t="s">
        <v>90</v>
      </c>
      <c r="B52" s="51">
        <v>0</v>
      </c>
      <c r="C52" s="51">
        <v>0</v>
      </c>
      <c r="D52" s="51">
        <v>0</v>
      </c>
      <c r="E52" s="51">
        <v>0</v>
      </c>
      <c r="F52" s="185">
        <v>0</v>
      </c>
      <c r="G52" s="53">
        <f>C52-E52</f>
        <v>0</v>
      </c>
      <c r="H52" s="53">
        <v>0</v>
      </c>
      <c r="I52" s="53">
        <v>0</v>
      </c>
      <c r="J52" s="53">
        <v>0</v>
      </c>
      <c r="K52" s="53">
        <f>+H52+I52-J52</f>
        <v>0</v>
      </c>
      <c r="L52" s="185">
        <v>0</v>
      </c>
      <c r="M52" s="12"/>
    </row>
    <row r="53" spans="1:13" ht="15.75" customHeight="1" x14ac:dyDescent="0.25">
      <c r="A53" s="17" t="s">
        <v>102</v>
      </c>
      <c r="B53" s="51">
        <v>0</v>
      </c>
      <c r="C53" s="51">
        <v>0</v>
      </c>
      <c r="D53" s="51">
        <v>0</v>
      </c>
      <c r="E53" s="51">
        <v>0</v>
      </c>
      <c r="F53" s="185">
        <v>0</v>
      </c>
      <c r="G53" s="53">
        <f>C53-E53</f>
        <v>0</v>
      </c>
      <c r="H53" s="53">
        <v>0</v>
      </c>
      <c r="I53" s="53">
        <v>0</v>
      </c>
      <c r="J53" s="53">
        <v>0</v>
      </c>
      <c r="K53" s="53">
        <f>+H53+I53-J53</f>
        <v>0</v>
      </c>
      <c r="L53" s="185">
        <v>0</v>
      </c>
      <c r="M53" s="12"/>
    </row>
    <row r="54" spans="1:13" ht="15.75" customHeight="1" x14ac:dyDescent="0.25">
      <c r="A54" s="13" t="s">
        <v>100</v>
      </c>
      <c r="B54" s="52">
        <f>SUM(B55:B56)</f>
        <v>0</v>
      </c>
      <c r="C54" s="52">
        <f>SUM(C55:C56)</f>
        <v>0</v>
      </c>
      <c r="D54" s="52">
        <f>SUM(D55:D56)</f>
        <v>0</v>
      </c>
      <c r="E54" s="52">
        <f>SUM(E55:E56)</f>
        <v>0</v>
      </c>
      <c r="F54" s="184">
        <v>0</v>
      </c>
      <c r="G54" s="54">
        <f t="shared" si="9"/>
        <v>0</v>
      </c>
      <c r="H54" s="52">
        <f>SUM(H55:H56)</f>
        <v>35.85</v>
      </c>
      <c r="I54" s="52">
        <f t="shared" ref="I54:K54" si="13">SUM(I55:I56)</f>
        <v>0</v>
      </c>
      <c r="J54" s="52">
        <f t="shared" si="13"/>
        <v>0</v>
      </c>
      <c r="K54" s="52">
        <f t="shared" si="13"/>
        <v>35.85</v>
      </c>
      <c r="L54" s="184">
        <v>0</v>
      </c>
      <c r="M54" s="12"/>
    </row>
    <row r="55" spans="1:13" ht="15.75" customHeight="1" x14ac:dyDescent="0.25">
      <c r="A55" s="17" t="s">
        <v>99</v>
      </c>
      <c r="B55" s="51">
        <v>0</v>
      </c>
      <c r="C55" s="51">
        <v>0</v>
      </c>
      <c r="D55" s="51">
        <v>0</v>
      </c>
      <c r="E55" s="51">
        <v>0</v>
      </c>
      <c r="F55" s="185">
        <v>0</v>
      </c>
      <c r="G55" s="53">
        <f t="shared" si="9"/>
        <v>0</v>
      </c>
      <c r="H55" s="53">
        <v>35.85</v>
      </c>
      <c r="I55" s="53">
        <v>0</v>
      </c>
      <c r="J55" s="53">
        <v>0</v>
      </c>
      <c r="K55" s="53">
        <f t="shared" ref="K55:K56" si="14">+H55+I55-J55</f>
        <v>35.85</v>
      </c>
      <c r="L55" s="185">
        <v>0</v>
      </c>
      <c r="M55" s="12"/>
    </row>
    <row r="56" spans="1:13" ht="15.75" customHeight="1" x14ac:dyDescent="0.25">
      <c r="A56" s="17" t="s">
        <v>23</v>
      </c>
      <c r="B56" s="51">
        <v>0</v>
      </c>
      <c r="C56" s="51">
        <v>0</v>
      </c>
      <c r="D56" s="51">
        <v>0</v>
      </c>
      <c r="E56" s="51">
        <v>0</v>
      </c>
      <c r="F56" s="185">
        <v>0</v>
      </c>
      <c r="G56" s="53">
        <f t="shared" si="9"/>
        <v>0</v>
      </c>
      <c r="H56" s="53">
        <v>0</v>
      </c>
      <c r="I56" s="53">
        <v>0</v>
      </c>
      <c r="J56" s="53">
        <v>0</v>
      </c>
      <c r="K56" s="53">
        <f t="shared" si="14"/>
        <v>0</v>
      </c>
      <c r="L56" s="185">
        <v>0</v>
      </c>
      <c r="M56" s="12"/>
    </row>
    <row r="57" spans="1:13" ht="15.75" customHeight="1" x14ac:dyDescent="0.25">
      <c r="A57" s="13" t="s">
        <v>101</v>
      </c>
      <c r="B57" s="52">
        <f>SUM(B58:B60)</f>
        <v>0</v>
      </c>
      <c r="C57" s="52">
        <f>SUM(C58:C60)</f>
        <v>0</v>
      </c>
      <c r="D57" s="52">
        <f>SUM(D58:D60)</f>
        <v>0</v>
      </c>
      <c r="E57" s="52">
        <f t="shared" ref="E57" si="15">SUM(E58:E60)</f>
        <v>0</v>
      </c>
      <c r="F57" s="184">
        <v>0</v>
      </c>
      <c r="G57" s="54">
        <f t="shared" si="9"/>
        <v>0</v>
      </c>
      <c r="H57" s="52">
        <f>SUM(H58:H60)</f>
        <v>3471.94</v>
      </c>
      <c r="I57" s="52">
        <f t="shared" ref="I57:J57" si="16">SUM(I58:I60)</f>
        <v>0</v>
      </c>
      <c r="J57" s="52">
        <f t="shared" si="16"/>
        <v>0.1</v>
      </c>
      <c r="K57" s="52">
        <f>SUM(K58:K60)</f>
        <v>3471.84</v>
      </c>
      <c r="L57" s="184">
        <v>0</v>
      </c>
      <c r="M57" s="12"/>
    </row>
    <row r="58" spans="1:13" ht="15.75" customHeight="1" x14ac:dyDescent="0.25">
      <c r="A58" s="17" t="s">
        <v>99</v>
      </c>
      <c r="B58" s="51">
        <v>0</v>
      </c>
      <c r="C58" s="51">
        <v>0</v>
      </c>
      <c r="D58" s="51">
        <v>0</v>
      </c>
      <c r="E58" s="51">
        <v>0</v>
      </c>
      <c r="F58" s="185">
        <v>0</v>
      </c>
      <c r="G58" s="53">
        <f t="shared" si="9"/>
        <v>0</v>
      </c>
      <c r="H58" s="53">
        <v>3471.94</v>
      </c>
      <c r="I58" s="53">
        <v>0</v>
      </c>
      <c r="J58" s="53">
        <v>0</v>
      </c>
      <c r="K58" s="53">
        <f>+H58+I58-J58</f>
        <v>3471.94</v>
      </c>
      <c r="L58" s="185">
        <v>0</v>
      </c>
      <c r="M58" s="12"/>
    </row>
    <row r="59" spans="1:13" ht="15.75" customHeight="1" x14ac:dyDescent="0.25">
      <c r="A59" s="17" t="s">
        <v>23</v>
      </c>
      <c r="B59" s="51">
        <v>0</v>
      </c>
      <c r="C59" s="51">
        <v>0</v>
      </c>
      <c r="D59" s="51">
        <v>0</v>
      </c>
      <c r="E59" s="51">
        <v>0</v>
      </c>
      <c r="F59" s="185">
        <v>0</v>
      </c>
      <c r="G59" s="53">
        <f t="shared" si="9"/>
        <v>0</v>
      </c>
      <c r="H59" s="53">
        <v>0</v>
      </c>
      <c r="I59" s="53">
        <v>0</v>
      </c>
      <c r="J59" s="53">
        <v>0</v>
      </c>
      <c r="K59" s="53">
        <f t="shared" ref="K59:K60" si="17">+H59+I59-J59</f>
        <v>0</v>
      </c>
      <c r="L59" s="185">
        <v>0</v>
      </c>
      <c r="M59" s="12"/>
    </row>
    <row r="60" spans="1:13" ht="15.75" customHeight="1" x14ac:dyDescent="0.25">
      <c r="A60" s="17" t="s">
        <v>25</v>
      </c>
      <c r="B60" s="51">
        <v>0</v>
      </c>
      <c r="C60" s="51">
        <v>0</v>
      </c>
      <c r="D60" s="51">
        <v>0</v>
      </c>
      <c r="E60" s="51">
        <v>0</v>
      </c>
      <c r="F60" s="185">
        <v>0</v>
      </c>
      <c r="G60" s="53">
        <f t="shared" si="9"/>
        <v>0</v>
      </c>
      <c r="H60" s="53">
        <v>0</v>
      </c>
      <c r="I60" s="53">
        <v>0</v>
      </c>
      <c r="J60" s="53">
        <v>0.1</v>
      </c>
      <c r="K60" s="53">
        <f t="shared" si="17"/>
        <v>-0.1</v>
      </c>
      <c r="L60" s="185">
        <v>0</v>
      </c>
      <c r="M60" s="12"/>
    </row>
    <row r="61" spans="1:13" ht="15.75" customHeight="1" x14ac:dyDescent="0.25">
      <c r="A61" s="18" t="s">
        <v>28</v>
      </c>
      <c r="B61" s="52">
        <f>B14+B21+B48+B54+B57</f>
        <v>164742025</v>
      </c>
      <c r="C61" s="52">
        <f>C14+C21+C34+C48+C54+C57</f>
        <v>211119150.43000001</v>
      </c>
      <c r="D61" s="52">
        <f>D14+D21+D34+D48+D54+D57</f>
        <v>9371.92</v>
      </c>
      <c r="E61" s="52">
        <f>E14+E21+E48+E54+E57</f>
        <v>194575379.63</v>
      </c>
      <c r="F61" s="184">
        <f>E61/C61</f>
        <v>0.92163775400618919</v>
      </c>
      <c r="G61" s="52">
        <f>G14+G21+G48+G54+G57</f>
        <v>16543770.799999997</v>
      </c>
      <c r="H61" s="52">
        <f>H14+H21+H34+H48+H54+H57</f>
        <v>19678226.080000006</v>
      </c>
      <c r="I61" s="52">
        <f t="shared" ref="I61" si="18">I14+I21+I48+I54+I57</f>
        <v>0</v>
      </c>
      <c r="J61" s="52">
        <f>J14+J21+J48+J54+J57</f>
        <v>4854163.4799999995</v>
      </c>
      <c r="K61" s="52">
        <f>K14+K21+K48+K54+K57</f>
        <v>14761928.42</v>
      </c>
      <c r="L61" s="185">
        <f>E61/B61</f>
        <v>1.1810913434504644</v>
      </c>
      <c r="M61" s="12"/>
    </row>
    <row r="62" spans="1:13" s="176" customFormat="1" ht="15.75" customHeight="1" x14ac:dyDescent="0.2">
      <c r="B62" s="186"/>
      <c r="C62" s="179">
        <f>'[1]AI MENSUAL'!$F$6+'[1]AI MENSUAL'!$G$6+'[1]AI MENSUAL'!$H$6+'[1]AI MENSUAL'!$I$6+'[1]AI MENSUAL'!$J$6+'[1]AI MENSUAL'!$K$6+'[1]AI MENSUAL'!$L$6+'[1]AI MENSUAL'!$M$6+'[1]AI MENSUAL'!$N$6+'[1]AI MENSUAL'!$O$6</f>
        <v>211122137.51999998</v>
      </c>
      <c r="D62" s="179">
        <f>'[1]AI MENSUAL'!$F$145+'[1]AI MENSUAL'!$G$145+'[1]AI MENSUAL'!$H$145+'[1]AI MENSUAL'!$I$145+'[1]AI MENSUAL'!$J$145+'[1]AI MENSUAL'!$K$145+'[1]AI MENSUAL'!$L$145+'[1]AI MENSUAL'!$M$145+'[1]AI MENSUAL'!$N$145</f>
        <v>0</v>
      </c>
      <c r="E62" s="179">
        <v>194575379.63</v>
      </c>
      <c r="F62" s="182"/>
      <c r="G62" s="179">
        <f>C61-E61</f>
        <v>16543770.800000012</v>
      </c>
      <c r="H62" s="179">
        <v>19678226.079999998</v>
      </c>
      <c r="I62" s="186">
        <f>H62-H61</f>
        <v>0</v>
      </c>
      <c r="J62" s="179">
        <v>4854163.4800000004</v>
      </c>
      <c r="K62" s="183"/>
      <c r="L62" s="182"/>
      <c r="M62" s="182"/>
    </row>
    <row r="63" spans="1:13" ht="15.75" customHeight="1" x14ac:dyDescent="0.2">
      <c r="B63" s="12"/>
      <c r="C63" s="220" t="s">
        <v>29</v>
      </c>
      <c r="D63" s="220"/>
      <c r="E63" s="220"/>
      <c r="F63" s="220"/>
      <c r="G63" s="220"/>
      <c r="H63" s="220"/>
      <c r="I63" s="220"/>
      <c r="J63" s="12"/>
      <c r="K63" s="12"/>
      <c r="L63" s="12"/>
      <c r="M63" s="12"/>
    </row>
    <row r="64" spans="1:13" ht="15.75" customHeight="1" x14ac:dyDescent="0.2">
      <c r="B64" s="12"/>
      <c r="C64" s="146"/>
      <c r="D64" s="146"/>
      <c r="E64" s="146"/>
      <c r="F64" s="60"/>
      <c r="G64" s="146"/>
      <c r="H64" s="60"/>
      <c r="I64" s="60"/>
      <c r="J64" s="12"/>
      <c r="K64" s="12"/>
      <c r="L64" s="12"/>
      <c r="M64" s="12"/>
    </row>
    <row r="65" spans="1:17" ht="15.75" customHeight="1" x14ac:dyDescent="0.25">
      <c r="B65" s="197" t="s">
        <v>30</v>
      </c>
      <c r="C65" s="197"/>
      <c r="D65" s="198" t="s">
        <v>31</v>
      </c>
      <c r="E65" s="199"/>
      <c r="F65" s="200"/>
      <c r="G65" s="201" t="s">
        <v>32</v>
      </c>
      <c r="H65" s="201"/>
      <c r="I65" s="153" t="s">
        <v>8</v>
      </c>
      <c r="L65" s="176" t="s">
        <v>114</v>
      </c>
      <c r="M65" s="177">
        <f>C62-C61</f>
        <v>2987.089999973774</v>
      </c>
      <c r="N65" s="177">
        <f>M65-D34</f>
        <v>2392.1699999737739</v>
      </c>
      <c r="O65" s="177">
        <f>N65-D21</f>
        <v>-2.6226643967675045E-8</v>
      </c>
      <c r="P65" s="176"/>
      <c r="Q65" s="176"/>
    </row>
    <row r="66" spans="1:17" ht="15.75" customHeight="1" x14ac:dyDescent="0.25">
      <c r="B66" s="202" t="s">
        <v>33</v>
      </c>
      <c r="C66" s="202"/>
      <c r="D66" s="203"/>
      <c r="E66" s="204"/>
      <c r="F66" s="205"/>
      <c r="G66" s="206"/>
      <c r="H66" s="206"/>
      <c r="I66" s="23"/>
      <c r="L66" s="176"/>
      <c r="M66" s="177">
        <f>E62-E61</f>
        <v>0</v>
      </c>
      <c r="N66" s="178"/>
      <c r="O66" s="178"/>
      <c r="P66" s="176"/>
      <c r="Q66" s="176"/>
    </row>
    <row r="67" spans="1:17" ht="15.75" customHeight="1" x14ac:dyDescent="0.25">
      <c r="B67" s="207" t="s">
        <v>34</v>
      </c>
      <c r="C67" s="207"/>
      <c r="D67" s="203">
        <v>113000</v>
      </c>
      <c r="E67" s="204"/>
      <c r="F67" s="205"/>
      <c r="G67" s="206">
        <f>[3]Hoja1!$B$18+[3]Hoja1!$C$18+[3]Hoja1!$D$18+[3]Hoja1!$E$18+[3]Hoja1!$F$18+[3]Hoja1!$G$18+[3]Hoja1!$H$18+[3]Hoja1!$I$18+[3]Hoja1!$J$19+[3]Hoja1!$K$19</f>
        <v>214344.31</v>
      </c>
      <c r="H67" s="206"/>
      <c r="I67" s="23">
        <f t="shared" ref="I67:I73" si="19">G67/D67</f>
        <v>1.8968523008849558</v>
      </c>
      <c r="L67" s="176"/>
      <c r="M67" s="176"/>
      <c r="N67" s="176"/>
      <c r="O67" s="176"/>
      <c r="P67" s="176"/>
      <c r="Q67" s="176"/>
    </row>
    <row r="68" spans="1:17" ht="15.75" customHeight="1" x14ac:dyDescent="0.25">
      <c r="B68" s="207" t="s">
        <v>35</v>
      </c>
      <c r="C68" s="207"/>
      <c r="D68" s="203">
        <v>12834042.720000001</v>
      </c>
      <c r="E68" s="204"/>
      <c r="F68" s="205"/>
      <c r="G68" s="206">
        <f>[3]Hoja1!$B$28+[3]Hoja1!$C$28+[3]Hoja1!$D$29+[3]Hoja1!$E$28+[3]Hoja1!$F$28+[3]Hoja1!$G$28+[3]Hoja1!$H$28+[3]Hoja1!$I$28+[3]Hoja1!$J$29+[3]Hoja1!$K$29</f>
        <v>9578335.2200000007</v>
      </c>
      <c r="H68" s="206"/>
      <c r="I68" s="23">
        <f t="shared" si="19"/>
        <v>0.74632252899342078</v>
      </c>
      <c r="L68" s="176"/>
      <c r="M68" s="180"/>
      <c r="N68" s="178"/>
      <c r="O68" s="178"/>
      <c r="P68" s="181"/>
      <c r="Q68" s="178"/>
    </row>
    <row r="69" spans="1:17" ht="15.75" customHeight="1" x14ac:dyDescent="0.25">
      <c r="B69" s="207" t="s">
        <v>103</v>
      </c>
      <c r="C69" s="207"/>
      <c r="D69" s="203">
        <v>432670</v>
      </c>
      <c r="E69" s="204"/>
      <c r="F69" s="205"/>
      <c r="G69" s="206">
        <f>[3]Hoja1!$B$39+[3]Hoja1!$C$39+[3]Hoja1!$D$39+[3]Hoja1!$E$39+[3]Hoja1!$E$39+[3]Hoja1!$F$39+[3]Hoja1!$G$39+[3]Hoja1!$H$39+[3]Hoja1!$I$39+[3]Hoja1!$J$40+[3]Hoja1!$K$40</f>
        <v>1195554.31</v>
      </c>
      <c r="H69" s="206"/>
      <c r="I69" s="23">
        <f t="shared" si="19"/>
        <v>2.7632013081563316</v>
      </c>
      <c r="L69" s="176"/>
      <c r="M69" s="177">
        <f>G64</f>
        <v>0</v>
      </c>
      <c r="N69" s="178">
        <f>G62</f>
        <v>16543770.800000012</v>
      </c>
      <c r="O69" s="178">
        <f>M69-N69</f>
        <v>-16543770.800000012</v>
      </c>
      <c r="P69" s="177">
        <f>D21+D34</f>
        <v>2987.0900000000006</v>
      </c>
      <c r="Q69" s="176"/>
    </row>
    <row r="70" spans="1:17" ht="15.75" customHeight="1" x14ac:dyDescent="0.25">
      <c r="B70" s="207" t="s">
        <v>104</v>
      </c>
      <c r="C70" s="207"/>
      <c r="D70" s="203">
        <v>144000</v>
      </c>
      <c r="E70" s="204"/>
      <c r="F70" s="205"/>
      <c r="G70" s="206">
        <f>[3]Hoja1!$B$49+[3]Hoja1!$C$49+[3]Hoja1!$D$49+[3]Hoja1!$E$49+[3]Hoja1!$E$49+[3]Hoja1!$F$49+[3]Hoja1!$H$49+[3]Hoja1!$I$49+[3]Hoja1!$J$50+[3]Hoja1!$K$50</f>
        <v>103790.01</v>
      </c>
      <c r="H70" s="206"/>
      <c r="I70" s="23">
        <f t="shared" si="19"/>
        <v>0.72076395833333329</v>
      </c>
      <c r="L70" s="176"/>
      <c r="M70" s="176"/>
      <c r="N70" s="178"/>
      <c r="O70" s="176"/>
      <c r="P70" s="176"/>
      <c r="Q70" s="176"/>
    </row>
    <row r="71" spans="1:17" ht="15.75" customHeight="1" x14ac:dyDescent="0.25">
      <c r="B71" s="207" t="s">
        <v>105</v>
      </c>
      <c r="C71" s="207"/>
      <c r="D71" s="203">
        <v>4620000</v>
      </c>
      <c r="E71" s="204"/>
      <c r="F71" s="205"/>
      <c r="G71" s="206">
        <f>[3]Hoja1!$B$59+[3]Hoja1!$C$60+[3]Hoja1!$D$59+[3]Hoja1!$E$59+[3]Hoja1!$F$59+[3]Hoja1!$G$59+[3]Hoja1!$H$59+[3]Hoja1!$I$59+[3]Hoja1!$J$60+[3]Hoja1!$K$60</f>
        <v>0</v>
      </c>
      <c r="H71" s="206"/>
      <c r="I71" s="23">
        <f t="shared" si="19"/>
        <v>0</v>
      </c>
    </row>
    <row r="72" spans="1:17" ht="15.75" customHeight="1" x14ac:dyDescent="0.25">
      <c r="B72" s="207" t="s">
        <v>106</v>
      </c>
      <c r="C72" s="207"/>
      <c r="D72" s="203">
        <v>1202890.56</v>
      </c>
      <c r="E72" s="204"/>
      <c r="F72" s="205"/>
      <c r="G72" s="206">
        <f>[3]Hoja1!$B$69+[3]Hoja1!$C$69+[3]Hoja1!$D$70+[3]Hoja1!$E$69+[3]Hoja1!$F$69+[3]Hoja1!$G$49+[3]Hoja1!$G$69+[3]Hoja1!$H$69+[3]Hoja1!$I$69+[3]Hoja1!$J$70+[3]Hoja1!$K$70</f>
        <v>34589.479999999996</v>
      </c>
      <c r="H72" s="206"/>
      <c r="I72" s="23">
        <f t="shared" si="19"/>
        <v>2.8755300897863888E-2</v>
      </c>
    </row>
    <row r="73" spans="1:17" ht="15.75" customHeight="1" x14ac:dyDescent="0.25">
      <c r="B73" s="207"/>
      <c r="C73" s="207"/>
      <c r="D73" s="203">
        <f>SUM(D67:F72)</f>
        <v>19346603.279999997</v>
      </c>
      <c r="E73" s="204"/>
      <c r="F73" s="205"/>
      <c r="G73" s="206">
        <f>SUM(G67:H72)</f>
        <v>11126613.330000002</v>
      </c>
      <c r="H73" s="206"/>
      <c r="I73" s="23">
        <f t="shared" si="19"/>
        <v>0.57511973388643356</v>
      </c>
    </row>
    <row r="74" spans="1:17" ht="15.75" customHeight="1" x14ac:dyDescent="0.25">
      <c r="B74" s="24"/>
      <c r="C74" s="24"/>
      <c r="D74" s="24"/>
      <c r="E74" s="24"/>
      <c r="F74" s="24"/>
      <c r="G74" s="61"/>
      <c r="H74" s="25"/>
      <c r="I74" s="26"/>
    </row>
    <row r="75" spans="1:17" ht="15.75" customHeight="1" x14ac:dyDescent="0.2"/>
    <row r="76" spans="1:17" s="27" customFormat="1" ht="15.75" customHeight="1" x14ac:dyDescent="0.3">
      <c r="B76" s="208" t="s">
        <v>36</v>
      </c>
      <c r="C76" s="208"/>
      <c r="D76" s="152"/>
      <c r="G76" s="209" t="s">
        <v>37</v>
      </c>
      <c r="H76" s="209"/>
      <c r="J76" s="209" t="s">
        <v>38</v>
      </c>
      <c r="K76" s="209"/>
    </row>
    <row r="77" spans="1:17" s="27" customFormat="1" ht="15.75" customHeight="1" x14ac:dyDescent="0.3">
      <c r="B77" s="152"/>
      <c r="C77" s="152"/>
      <c r="D77" s="152"/>
      <c r="G77" s="62"/>
      <c r="H77" s="147"/>
      <c r="J77" s="147"/>
      <c r="K77" s="147"/>
    </row>
    <row r="78" spans="1:17" s="27" customFormat="1" ht="15.75" customHeight="1" x14ac:dyDescent="0.3">
      <c r="B78" s="221" t="s">
        <v>118</v>
      </c>
      <c r="C78" s="221"/>
      <c r="D78" s="148"/>
      <c r="E78" s="32"/>
      <c r="F78" s="213" t="s">
        <v>119</v>
      </c>
      <c r="G78" s="213"/>
      <c r="H78" s="213"/>
      <c r="I78" s="33"/>
      <c r="J78" s="213" t="s">
        <v>121</v>
      </c>
      <c r="K78" s="213"/>
    </row>
    <row r="79" spans="1:17" s="27" customFormat="1" ht="15.75" customHeight="1" x14ac:dyDescent="0.3">
      <c r="A79" s="30"/>
      <c r="B79" s="212" t="s">
        <v>89</v>
      </c>
      <c r="C79" s="212"/>
      <c r="D79" s="148"/>
      <c r="E79" s="32"/>
      <c r="F79" s="213" t="s">
        <v>120</v>
      </c>
      <c r="G79" s="213"/>
      <c r="H79" s="213"/>
      <c r="I79" s="33"/>
      <c r="J79" s="213" t="s">
        <v>122</v>
      </c>
      <c r="K79" s="213"/>
    </row>
    <row r="80" spans="1:17" s="27" customFormat="1" ht="15.75" customHeight="1" x14ac:dyDescent="0.3">
      <c r="A80" s="30"/>
      <c r="B80" s="214"/>
      <c r="C80" s="214"/>
      <c r="D80" s="151"/>
      <c r="G80" s="214"/>
      <c r="H80" s="214"/>
      <c r="J80" s="214"/>
      <c r="K80" s="214"/>
    </row>
    <row r="81" spans="1:12" ht="15.75" customHeight="1" x14ac:dyDescent="0.2">
      <c r="A81" s="8"/>
      <c r="B81" s="32"/>
      <c r="C81" s="32"/>
      <c r="D81" s="32"/>
      <c r="G81" s="63"/>
      <c r="H81" s="32"/>
      <c r="J81" s="32"/>
      <c r="K81" s="32"/>
    </row>
    <row r="82" spans="1:12" ht="15.75" customHeight="1" x14ac:dyDescent="0.2"/>
    <row r="83" spans="1:12" ht="15.75" customHeight="1" x14ac:dyDescent="0.2">
      <c r="A83" s="35" t="s">
        <v>39</v>
      </c>
    </row>
    <row r="84" spans="1:12" x14ac:dyDescent="0.2">
      <c r="A84" s="35"/>
    </row>
    <row r="85" spans="1:12" x14ac:dyDescent="0.2">
      <c r="A85" s="35"/>
    </row>
    <row r="86" spans="1:12" ht="15.75" customHeight="1" x14ac:dyDescent="0.2">
      <c r="A86" s="35"/>
    </row>
    <row r="87" spans="1:12" ht="15.75" customHeight="1" x14ac:dyDescent="0.25">
      <c r="A87" s="219" t="s">
        <v>0</v>
      </c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</row>
    <row r="88" spans="1:12" ht="15.75" customHeight="1" x14ac:dyDescent="0.2">
      <c r="B88" s="9"/>
      <c r="C88" s="9"/>
      <c r="D88" s="9"/>
      <c r="E88" s="9"/>
      <c r="F88" s="9"/>
      <c r="G88" s="59"/>
      <c r="H88" s="9"/>
    </row>
    <row r="89" spans="1:12" s="36" customFormat="1" ht="15.75" customHeight="1" x14ac:dyDescent="0.25">
      <c r="A89" s="189" t="s">
        <v>40</v>
      </c>
      <c r="B89" s="189"/>
      <c r="C89" s="189"/>
      <c r="D89" s="149"/>
      <c r="E89" s="189" t="s">
        <v>41</v>
      </c>
      <c r="F89" s="189"/>
      <c r="G89" s="189"/>
      <c r="H89" s="189"/>
      <c r="I89" s="189"/>
      <c r="J89" s="189"/>
      <c r="K89" s="189"/>
      <c r="L89" s="189"/>
    </row>
    <row r="90" spans="1:12" ht="15.75" customHeight="1" x14ac:dyDescent="0.2">
      <c r="A90" s="32"/>
      <c r="B90" s="32"/>
      <c r="C90" s="37"/>
      <c r="D90" s="37"/>
      <c r="F90" s="32"/>
      <c r="G90" s="63"/>
      <c r="H90" s="32"/>
    </row>
    <row r="91" spans="1:12" ht="15.75" customHeight="1" x14ac:dyDescent="0.2">
      <c r="A91" s="38" t="s">
        <v>42</v>
      </c>
      <c r="B91" s="39"/>
      <c r="C91" s="39"/>
      <c r="D91" s="39"/>
      <c r="E91" s="211" t="s">
        <v>43</v>
      </c>
      <c r="F91" s="211"/>
      <c r="G91" s="211"/>
      <c r="H91" s="211"/>
      <c r="I91" s="211"/>
      <c r="J91" s="40"/>
      <c r="K91" s="40"/>
      <c r="L91" s="40"/>
    </row>
    <row r="92" spans="1:12" ht="5.0999999999999996" customHeight="1" x14ac:dyDescent="0.2">
      <c r="A92" s="150"/>
      <c r="B92" s="150"/>
      <c r="C92" s="150"/>
      <c r="D92" s="150"/>
      <c r="E92" s="150"/>
      <c r="F92" s="42"/>
      <c r="G92" s="64"/>
      <c r="H92" s="40"/>
      <c r="I92" s="40"/>
      <c r="J92" s="40"/>
      <c r="K92" s="40"/>
      <c r="L92" s="40"/>
    </row>
    <row r="93" spans="1:12" ht="15.75" customHeight="1" x14ac:dyDescent="0.2">
      <c r="A93" s="210" t="s">
        <v>44</v>
      </c>
      <c r="B93" s="210"/>
      <c r="C93" s="39"/>
      <c r="D93" s="39"/>
      <c r="E93" s="211" t="s">
        <v>45</v>
      </c>
      <c r="F93" s="211"/>
      <c r="G93" s="211"/>
      <c r="H93" s="211"/>
      <c r="I93" s="211"/>
      <c r="J93" s="40"/>
      <c r="K93" s="40"/>
      <c r="L93" s="40"/>
    </row>
    <row r="94" spans="1:12" ht="5.0999999999999996" customHeight="1" x14ac:dyDescent="0.2">
      <c r="A94" s="43"/>
      <c r="B94" s="43"/>
      <c r="C94" s="40"/>
      <c r="D94" s="40"/>
      <c r="E94" s="40"/>
      <c r="F94" s="40"/>
      <c r="G94" s="48"/>
      <c r="H94" s="40"/>
      <c r="I94" s="40"/>
      <c r="J94" s="40"/>
      <c r="K94" s="40"/>
      <c r="L94" s="40"/>
    </row>
    <row r="95" spans="1:12" x14ac:dyDescent="0.2">
      <c r="A95" s="44" t="s">
        <v>46</v>
      </c>
      <c r="B95" s="43"/>
      <c r="C95" s="40"/>
      <c r="D95" s="40"/>
      <c r="E95" s="1" t="s">
        <v>47</v>
      </c>
      <c r="F95" s="40"/>
      <c r="G95" s="48"/>
      <c r="H95" s="40"/>
      <c r="I95" s="40"/>
      <c r="J95" s="40"/>
      <c r="K95" s="40"/>
      <c r="L95" s="40"/>
    </row>
    <row r="96" spans="1:12" ht="5.0999999999999996" customHeight="1" x14ac:dyDescent="0.2">
      <c r="A96" s="43"/>
      <c r="B96" s="43"/>
      <c r="C96" s="40"/>
      <c r="D96" s="40"/>
      <c r="E96" s="40"/>
      <c r="F96" s="40"/>
      <c r="G96" s="48"/>
      <c r="H96" s="40"/>
      <c r="I96" s="40"/>
      <c r="J96" s="40"/>
      <c r="K96" s="40"/>
      <c r="L96" s="40"/>
    </row>
    <row r="97" spans="1:12" ht="15.75" customHeight="1" x14ac:dyDescent="0.2">
      <c r="A97" s="43" t="s">
        <v>48</v>
      </c>
      <c r="B97" s="43"/>
      <c r="C97" s="40"/>
      <c r="D97" s="40"/>
      <c r="E97" s="40" t="s">
        <v>49</v>
      </c>
      <c r="F97" s="40"/>
      <c r="G97" s="48"/>
      <c r="H97" s="40"/>
      <c r="I97" s="40"/>
      <c r="J97" s="40"/>
      <c r="K97" s="40"/>
      <c r="L97" s="40"/>
    </row>
    <row r="98" spans="1:12" ht="5.0999999999999996" customHeight="1" x14ac:dyDescent="0.2">
      <c r="A98" s="43"/>
      <c r="B98" s="43"/>
      <c r="C98" s="40"/>
      <c r="D98" s="40"/>
      <c r="E98" s="40"/>
      <c r="F98" s="40"/>
      <c r="G98" s="48"/>
      <c r="H98" s="40"/>
      <c r="I98" s="40"/>
      <c r="J98" s="40"/>
      <c r="K98" s="40"/>
      <c r="L98" s="40"/>
    </row>
    <row r="99" spans="1:12" ht="33.75" customHeight="1" x14ac:dyDescent="0.2">
      <c r="A99" s="43" t="s">
        <v>50</v>
      </c>
      <c r="B99" s="43"/>
      <c r="C99" s="40"/>
      <c r="D99" s="40"/>
      <c r="E99" s="216" t="s">
        <v>51</v>
      </c>
      <c r="F99" s="216"/>
      <c r="G99" s="216"/>
      <c r="H99" s="216"/>
      <c r="I99" s="216"/>
      <c r="J99" s="216"/>
      <c r="K99" s="216"/>
      <c r="L99" s="216"/>
    </row>
    <row r="100" spans="1:12" ht="5.0999999999999996" customHeight="1" x14ac:dyDescent="0.2">
      <c r="A100" s="43"/>
      <c r="B100" s="43"/>
      <c r="C100" s="40"/>
      <c r="D100" s="40"/>
      <c r="E100" s="45"/>
      <c r="F100" s="40"/>
      <c r="G100" s="48"/>
      <c r="H100" s="40"/>
      <c r="I100" s="40"/>
      <c r="J100" s="40"/>
      <c r="K100" s="40"/>
      <c r="L100" s="40"/>
    </row>
    <row r="101" spans="1:12" ht="30" customHeight="1" x14ac:dyDescent="0.2">
      <c r="A101" s="43" t="s">
        <v>52</v>
      </c>
      <c r="B101" s="43"/>
      <c r="C101" s="40"/>
      <c r="D101" s="40"/>
      <c r="E101" s="217" t="s">
        <v>53</v>
      </c>
      <c r="F101" s="217"/>
      <c r="G101" s="217"/>
      <c r="H101" s="217"/>
      <c r="I101" s="217"/>
      <c r="J101" s="217"/>
      <c r="K101" s="217"/>
      <c r="L101" s="217"/>
    </row>
    <row r="102" spans="1:12" ht="5.0999999999999996" customHeight="1" x14ac:dyDescent="0.2">
      <c r="A102" s="43"/>
      <c r="B102" s="43"/>
      <c r="C102" s="40"/>
      <c r="D102" s="40"/>
      <c r="E102" s="45"/>
      <c r="F102" s="40"/>
      <c r="G102" s="48"/>
      <c r="H102" s="40"/>
      <c r="I102" s="40"/>
      <c r="J102" s="40"/>
      <c r="K102" s="40"/>
      <c r="L102" s="40"/>
    </row>
    <row r="103" spans="1:12" ht="45" customHeight="1" x14ac:dyDescent="0.2">
      <c r="A103" s="46" t="s">
        <v>54</v>
      </c>
      <c r="B103" s="46"/>
      <c r="C103" s="45"/>
      <c r="D103" s="45"/>
      <c r="E103" s="217" t="s">
        <v>55</v>
      </c>
      <c r="F103" s="217"/>
      <c r="G103" s="217"/>
      <c r="H103" s="217"/>
      <c r="I103" s="217"/>
      <c r="J103" s="217"/>
      <c r="K103" s="217"/>
      <c r="L103" s="217"/>
    </row>
    <row r="104" spans="1:12" ht="5.0999999999999996" customHeight="1" x14ac:dyDescent="0.2">
      <c r="A104" s="43"/>
      <c r="B104" s="43"/>
      <c r="C104" s="40"/>
      <c r="D104" s="40"/>
      <c r="E104" s="40"/>
      <c r="F104" s="40"/>
      <c r="G104" s="48"/>
      <c r="H104" s="40"/>
      <c r="I104" s="40"/>
      <c r="J104" s="40"/>
      <c r="K104" s="40"/>
      <c r="L104" s="40"/>
    </row>
    <row r="105" spans="1:12" ht="49.5" customHeight="1" x14ac:dyDescent="0.2">
      <c r="A105" s="43" t="s">
        <v>56</v>
      </c>
      <c r="B105" s="43"/>
      <c r="C105" s="40"/>
      <c r="D105" s="40"/>
      <c r="E105" s="216" t="s">
        <v>57</v>
      </c>
      <c r="F105" s="216"/>
      <c r="G105" s="216"/>
      <c r="H105" s="216"/>
      <c r="I105" s="216"/>
      <c r="J105" s="216"/>
      <c r="K105" s="216"/>
      <c r="L105" s="216"/>
    </row>
    <row r="106" spans="1:12" ht="5.0999999999999996" customHeight="1" x14ac:dyDescent="0.2">
      <c r="A106" s="43"/>
      <c r="B106" s="43"/>
      <c r="C106" s="40"/>
      <c r="D106" s="40"/>
      <c r="E106" s="40"/>
      <c r="F106" s="40"/>
      <c r="G106" s="48"/>
      <c r="H106" s="40"/>
      <c r="I106" s="40"/>
      <c r="J106" s="40"/>
      <c r="K106" s="40"/>
      <c r="L106" s="40"/>
    </row>
    <row r="107" spans="1:12" ht="49.5" customHeight="1" x14ac:dyDescent="0.2">
      <c r="A107" s="43" t="s">
        <v>58</v>
      </c>
      <c r="B107" s="43"/>
      <c r="C107" s="40"/>
      <c r="D107" s="40"/>
      <c r="E107" s="216" t="s">
        <v>59</v>
      </c>
      <c r="F107" s="216"/>
      <c r="G107" s="216"/>
      <c r="H107" s="216"/>
      <c r="I107" s="216"/>
      <c r="J107" s="216"/>
      <c r="K107" s="216"/>
      <c r="L107" s="216"/>
    </row>
    <row r="108" spans="1:12" ht="5.0999999999999996" customHeight="1" x14ac:dyDescent="0.2">
      <c r="A108" s="42"/>
      <c r="B108" s="42"/>
      <c r="C108" s="40"/>
      <c r="D108" s="40"/>
      <c r="E108" s="40"/>
      <c r="F108" s="40"/>
      <c r="G108" s="48"/>
      <c r="H108" s="40"/>
      <c r="I108" s="40"/>
      <c r="J108" s="40"/>
      <c r="K108" s="40"/>
      <c r="L108" s="40"/>
    </row>
    <row r="109" spans="1:12" ht="30.75" customHeight="1" x14ac:dyDescent="0.2">
      <c r="A109" s="43" t="s">
        <v>60</v>
      </c>
      <c r="B109" s="43"/>
      <c r="C109" s="40"/>
      <c r="D109" s="40"/>
      <c r="E109" s="216" t="s">
        <v>61</v>
      </c>
      <c r="F109" s="218"/>
      <c r="G109" s="218"/>
      <c r="H109" s="218"/>
      <c r="I109" s="218"/>
      <c r="J109" s="218"/>
      <c r="K109" s="218"/>
      <c r="L109" s="218"/>
    </row>
    <row r="110" spans="1:12" ht="5.0999999999999996" customHeight="1" x14ac:dyDescent="0.2">
      <c r="A110" s="43"/>
      <c r="B110" s="43"/>
      <c r="C110" s="40"/>
      <c r="D110" s="40"/>
      <c r="E110" s="40"/>
      <c r="F110" s="40"/>
      <c r="G110" s="48"/>
      <c r="H110" s="40"/>
      <c r="I110" s="40"/>
      <c r="J110" s="40"/>
      <c r="K110" s="40"/>
      <c r="L110" s="40"/>
    </row>
    <row r="111" spans="1:12" ht="15.75" customHeight="1" x14ac:dyDescent="0.2">
      <c r="A111" s="43" t="s">
        <v>62</v>
      </c>
      <c r="B111" s="43"/>
      <c r="C111" s="40"/>
      <c r="D111" s="40"/>
      <c r="E111" s="40" t="s">
        <v>63</v>
      </c>
      <c r="F111" s="40"/>
      <c r="G111" s="48"/>
      <c r="H111" s="40"/>
      <c r="I111" s="40"/>
      <c r="J111" s="40"/>
      <c r="K111" s="40"/>
      <c r="L111" s="40"/>
    </row>
    <row r="112" spans="1:12" ht="5.0999999999999996" customHeight="1" x14ac:dyDescent="0.2">
      <c r="A112" s="43"/>
      <c r="B112" s="43"/>
      <c r="C112" s="40"/>
      <c r="D112" s="40"/>
      <c r="E112" s="40"/>
      <c r="F112" s="40"/>
      <c r="G112" s="48"/>
      <c r="H112" s="40"/>
      <c r="I112" s="40"/>
      <c r="J112" s="40"/>
      <c r="K112" s="40"/>
      <c r="L112" s="40"/>
    </row>
    <row r="113" spans="1:12" x14ac:dyDescent="0.2">
      <c r="A113" s="43" t="s">
        <v>64</v>
      </c>
      <c r="B113" s="43"/>
      <c r="C113" s="40"/>
      <c r="D113" s="40"/>
      <c r="E113" s="40" t="s">
        <v>65</v>
      </c>
      <c r="F113" s="40"/>
      <c r="G113" s="48"/>
      <c r="H113" s="40"/>
      <c r="I113" s="40"/>
      <c r="J113" s="40"/>
      <c r="K113" s="40"/>
      <c r="L113" s="40"/>
    </row>
    <row r="114" spans="1:12" ht="5.0999999999999996" customHeight="1" x14ac:dyDescent="0.2">
      <c r="A114" s="43"/>
      <c r="B114" s="43"/>
      <c r="C114" s="40"/>
      <c r="D114" s="40"/>
      <c r="E114" s="40"/>
      <c r="F114" s="40"/>
      <c r="G114" s="48"/>
      <c r="H114" s="40"/>
      <c r="I114" s="40"/>
      <c r="J114" s="40"/>
      <c r="K114" s="40"/>
      <c r="L114" s="40"/>
    </row>
    <row r="115" spans="1:12" ht="15.75" customHeight="1" x14ac:dyDescent="0.2">
      <c r="A115" s="47" t="s">
        <v>66</v>
      </c>
      <c r="B115" s="43"/>
      <c r="C115" s="40"/>
      <c r="D115" s="40"/>
      <c r="E115" s="48" t="s">
        <v>67</v>
      </c>
      <c r="F115" s="40"/>
      <c r="G115" s="48"/>
      <c r="H115" s="40"/>
      <c r="I115" s="40"/>
      <c r="J115" s="40"/>
      <c r="K115" s="40"/>
      <c r="L115" s="40"/>
    </row>
    <row r="116" spans="1:12" ht="5.0999999999999996" customHeight="1" x14ac:dyDescent="0.2">
      <c r="A116" s="43"/>
      <c r="B116" s="43"/>
      <c r="C116" s="40"/>
      <c r="D116" s="40"/>
      <c r="E116" s="40"/>
      <c r="F116" s="40"/>
      <c r="G116" s="48"/>
      <c r="H116" s="40"/>
      <c r="I116" s="40"/>
      <c r="J116" s="40"/>
      <c r="K116" s="40"/>
      <c r="L116" s="40"/>
    </row>
    <row r="117" spans="1:12" ht="15.75" customHeight="1" x14ac:dyDescent="0.2">
      <c r="A117" s="43" t="s">
        <v>68</v>
      </c>
      <c r="B117" s="43"/>
      <c r="C117" s="40"/>
      <c r="D117" s="40"/>
      <c r="E117" s="40" t="s">
        <v>69</v>
      </c>
      <c r="F117" s="40"/>
      <c r="G117" s="48"/>
      <c r="H117" s="40"/>
      <c r="I117" s="40"/>
      <c r="J117" s="40"/>
      <c r="K117" s="40"/>
      <c r="L117" s="40"/>
    </row>
    <row r="118" spans="1:12" ht="5.0999999999999996" customHeight="1" x14ac:dyDescent="0.2">
      <c r="A118" s="43"/>
      <c r="B118" s="43"/>
      <c r="C118" s="40"/>
      <c r="D118" s="40"/>
      <c r="E118" s="40"/>
      <c r="F118" s="40"/>
      <c r="G118" s="48"/>
      <c r="H118" s="40"/>
      <c r="I118" s="40"/>
      <c r="J118" s="40"/>
      <c r="K118" s="40"/>
      <c r="L118" s="40"/>
    </row>
    <row r="119" spans="1:12" ht="15.75" customHeight="1" x14ac:dyDescent="0.2">
      <c r="A119" s="43" t="s">
        <v>70</v>
      </c>
      <c r="B119" s="43"/>
      <c r="C119" s="40"/>
      <c r="D119" s="40"/>
      <c r="E119" s="40" t="s">
        <v>71</v>
      </c>
      <c r="F119" s="40"/>
      <c r="G119" s="48"/>
      <c r="H119" s="40"/>
      <c r="I119" s="40"/>
      <c r="J119" s="40"/>
      <c r="K119" s="40"/>
      <c r="L119" s="40"/>
    </row>
    <row r="120" spans="1:12" ht="5.0999999999999996" customHeight="1" x14ac:dyDescent="0.2">
      <c r="A120" s="43"/>
      <c r="B120" s="43"/>
      <c r="C120" s="40"/>
      <c r="D120" s="40"/>
      <c r="E120" s="40"/>
      <c r="F120" s="40"/>
      <c r="G120" s="48"/>
      <c r="H120" s="40"/>
      <c r="I120" s="40"/>
      <c r="J120" s="40"/>
      <c r="K120" s="40"/>
      <c r="L120" s="40"/>
    </row>
    <row r="121" spans="1:12" ht="15.75" customHeight="1" x14ac:dyDescent="0.2">
      <c r="A121" s="47" t="s">
        <v>72</v>
      </c>
      <c r="B121" s="43"/>
      <c r="C121" s="40"/>
      <c r="D121" s="40"/>
      <c r="E121" s="48" t="s">
        <v>73</v>
      </c>
      <c r="F121" s="40"/>
      <c r="G121" s="48"/>
      <c r="H121" s="40"/>
      <c r="I121" s="40"/>
      <c r="J121" s="40"/>
      <c r="K121" s="40"/>
      <c r="L121" s="40"/>
    </row>
    <row r="122" spans="1:12" ht="5.0999999999999996" customHeight="1" x14ac:dyDescent="0.2">
      <c r="A122" s="43"/>
      <c r="B122" s="43"/>
      <c r="C122" s="40"/>
      <c r="D122" s="40"/>
      <c r="E122" s="40"/>
      <c r="F122" s="40"/>
      <c r="G122" s="48"/>
      <c r="H122" s="40"/>
      <c r="I122" s="40"/>
      <c r="J122" s="40"/>
      <c r="K122" s="40"/>
      <c r="L122" s="40"/>
    </row>
    <row r="123" spans="1:12" ht="37.5" customHeight="1" x14ac:dyDescent="0.2">
      <c r="A123" s="47" t="s">
        <v>74</v>
      </c>
      <c r="B123" s="43"/>
      <c r="C123" s="40"/>
      <c r="D123" s="40"/>
      <c r="E123" s="216" t="s">
        <v>75</v>
      </c>
      <c r="F123" s="218"/>
      <c r="G123" s="218"/>
      <c r="H123" s="218"/>
      <c r="I123" s="218"/>
      <c r="J123" s="218"/>
      <c r="K123" s="218"/>
      <c r="L123" s="218"/>
    </row>
    <row r="124" spans="1:12" ht="5.0999999999999996" customHeight="1" x14ac:dyDescent="0.2">
      <c r="A124" s="43"/>
      <c r="B124" s="43"/>
      <c r="C124" s="40"/>
      <c r="D124" s="40"/>
      <c r="E124" s="40"/>
      <c r="F124" s="40"/>
      <c r="G124" s="48"/>
      <c r="H124" s="40"/>
      <c r="I124" s="40"/>
      <c r="J124" s="40"/>
      <c r="K124" s="40"/>
      <c r="L124" s="40"/>
    </row>
    <row r="125" spans="1:12" ht="15.75" customHeight="1" x14ac:dyDescent="0.2">
      <c r="A125" s="43" t="s">
        <v>76</v>
      </c>
      <c r="B125" s="43"/>
      <c r="C125" s="40"/>
      <c r="D125" s="40"/>
      <c r="E125" s="40" t="s">
        <v>77</v>
      </c>
      <c r="F125" s="40"/>
      <c r="G125" s="48"/>
      <c r="H125" s="40"/>
      <c r="I125" s="40"/>
      <c r="J125" s="40"/>
      <c r="K125" s="40"/>
      <c r="L125" s="40"/>
    </row>
    <row r="126" spans="1:12" ht="5.0999999999999996" customHeight="1" x14ac:dyDescent="0.2">
      <c r="A126" s="43"/>
      <c r="B126" s="43"/>
      <c r="C126" s="40"/>
      <c r="D126" s="40"/>
      <c r="E126" s="40"/>
      <c r="F126" s="40"/>
      <c r="G126" s="48"/>
      <c r="H126" s="40"/>
      <c r="I126" s="40"/>
      <c r="J126" s="40"/>
      <c r="K126" s="40"/>
      <c r="L126" s="40"/>
    </row>
    <row r="127" spans="1:12" ht="15.75" customHeight="1" x14ac:dyDescent="0.2">
      <c r="A127" s="43" t="s">
        <v>78</v>
      </c>
      <c r="B127" s="43"/>
      <c r="C127" s="40"/>
      <c r="D127" s="40"/>
      <c r="E127" s="40" t="s">
        <v>79</v>
      </c>
      <c r="F127" s="40"/>
      <c r="G127" s="48"/>
      <c r="H127" s="40"/>
      <c r="I127" s="40"/>
      <c r="J127" s="40"/>
      <c r="K127" s="40"/>
      <c r="L127" s="40"/>
    </row>
    <row r="128" spans="1:12" ht="5.0999999999999996" customHeight="1" x14ac:dyDescent="0.2">
      <c r="A128" s="43"/>
      <c r="B128" s="43"/>
      <c r="C128" s="40"/>
      <c r="D128" s="40"/>
      <c r="E128" s="40"/>
      <c r="F128" s="40"/>
      <c r="G128" s="48"/>
      <c r="H128" s="40"/>
      <c r="I128" s="40"/>
      <c r="J128" s="40"/>
      <c r="K128" s="40"/>
      <c r="L128" s="40"/>
    </row>
    <row r="129" spans="1:20" ht="15.75" customHeight="1" x14ac:dyDescent="0.2">
      <c r="A129" s="43" t="s">
        <v>80</v>
      </c>
      <c r="B129" s="43"/>
      <c r="C129" s="40"/>
      <c r="D129" s="40"/>
      <c r="E129" s="40" t="s">
        <v>81</v>
      </c>
      <c r="F129" s="40"/>
      <c r="G129" s="48"/>
      <c r="H129" s="40"/>
      <c r="I129" s="40"/>
      <c r="J129" s="40"/>
      <c r="K129" s="40"/>
      <c r="L129" s="40"/>
    </row>
    <row r="130" spans="1:20" ht="5.0999999999999996" customHeight="1" x14ac:dyDescent="0.2">
      <c r="A130" s="43"/>
      <c r="B130" s="43"/>
      <c r="C130" s="40"/>
      <c r="D130" s="40"/>
      <c r="E130" s="40"/>
      <c r="F130" s="40"/>
      <c r="G130" s="48"/>
      <c r="H130" s="40"/>
      <c r="I130" s="40"/>
      <c r="J130" s="40"/>
      <c r="K130" s="40"/>
      <c r="L130" s="40"/>
    </row>
    <row r="131" spans="1:20" ht="15.75" customHeight="1" x14ac:dyDescent="0.2">
      <c r="A131" s="43"/>
      <c r="B131" s="43"/>
      <c r="C131" s="40"/>
      <c r="D131" s="40"/>
      <c r="E131" s="40" t="s">
        <v>82</v>
      </c>
      <c r="F131" s="40"/>
      <c r="G131" s="48"/>
      <c r="H131" s="40"/>
      <c r="I131" s="40"/>
      <c r="J131" s="40"/>
      <c r="K131" s="40"/>
      <c r="L131" s="40"/>
    </row>
    <row r="132" spans="1:20" ht="5.0999999999999996" customHeight="1" x14ac:dyDescent="0.2">
      <c r="A132" s="43"/>
      <c r="B132" s="43"/>
      <c r="C132" s="40"/>
      <c r="D132" s="40"/>
      <c r="E132" s="40"/>
      <c r="F132" s="40"/>
      <c r="G132" s="48"/>
      <c r="H132" s="40"/>
      <c r="I132" s="40"/>
      <c r="J132" s="40"/>
      <c r="K132" s="40"/>
      <c r="L132" s="40"/>
    </row>
    <row r="133" spans="1:20" ht="15.75" customHeight="1" x14ac:dyDescent="0.2">
      <c r="A133" s="46" t="s">
        <v>14</v>
      </c>
      <c r="B133" s="43"/>
      <c r="C133" s="40"/>
      <c r="D133" s="40"/>
      <c r="E133" s="40" t="s">
        <v>83</v>
      </c>
      <c r="F133" s="40"/>
      <c r="G133" s="48"/>
      <c r="H133" s="40"/>
      <c r="I133" s="40"/>
      <c r="J133" s="40"/>
      <c r="K133" s="40"/>
      <c r="L133" s="40"/>
    </row>
    <row r="134" spans="1:20" x14ac:dyDescent="0.2">
      <c r="A134" s="40"/>
      <c r="B134" s="40"/>
      <c r="C134" s="40"/>
      <c r="D134" s="40"/>
      <c r="E134" s="40"/>
      <c r="F134" s="40"/>
      <c r="G134" s="48"/>
      <c r="H134" s="40"/>
      <c r="I134" s="40"/>
      <c r="J134" s="40"/>
      <c r="K134" s="40"/>
      <c r="L134" s="40"/>
    </row>
    <row r="135" spans="1:20" x14ac:dyDescent="0.2">
      <c r="A135" s="44" t="s">
        <v>36</v>
      </c>
      <c r="B135" s="40"/>
      <c r="C135" s="40"/>
      <c r="D135" s="40"/>
      <c r="E135" s="215" t="s">
        <v>84</v>
      </c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/>
      <c r="B136" s="40"/>
      <c r="C136" s="40"/>
      <c r="D136" s="40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4" t="s">
        <v>85</v>
      </c>
      <c r="B137" s="37"/>
      <c r="C137" s="37"/>
      <c r="D137" s="37"/>
      <c r="E137" s="215" t="s">
        <v>86</v>
      </c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</row>
    <row r="138" spans="1:20" x14ac:dyDescent="0.2">
      <c r="A138" s="49"/>
      <c r="B138" s="37"/>
      <c r="C138" s="37"/>
      <c r="D138" s="37"/>
      <c r="E138" s="49"/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44" t="s">
        <v>38</v>
      </c>
      <c r="B139" s="37"/>
      <c r="C139" s="37"/>
      <c r="D139" s="37"/>
      <c r="E139" s="49" t="s">
        <v>87</v>
      </c>
      <c r="F139" s="49"/>
      <c r="G139" s="65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  <row r="147" spans="1:12" x14ac:dyDescent="0.2">
      <c r="A147" s="37"/>
      <c r="B147" s="37"/>
      <c r="C147" s="37"/>
      <c r="D147" s="37"/>
      <c r="E147" s="37"/>
      <c r="F147" s="37"/>
      <c r="G147" s="66"/>
      <c r="H147" s="37"/>
      <c r="I147" s="37"/>
      <c r="J147" s="37"/>
      <c r="K147" s="37"/>
      <c r="L147" s="37"/>
    </row>
  </sheetData>
  <mergeCells count="72">
    <mergeCell ref="E137:T137"/>
    <mergeCell ref="E105:L105"/>
    <mergeCell ref="E107:L107"/>
    <mergeCell ref="E109:L109"/>
    <mergeCell ref="E123:L123"/>
    <mergeCell ref="E135:T135"/>
    <mergeCell ref="E136:T136"/>
    <mergeCell ref="E103:L103"/>
    <mergeCell ref="B80:C80"/>
    <mergeCell ref="G80:H80"/>
    <mergeCell ref="J80:K80"/>
    <mergeCell ref="A87:L87"/>
    <mergeCell ref="A89:C89"/>
    <mergeCell ref="E89:L89"/>
    <mergeCell ref="E91:I91"/>
    <mergeCell ref="A93:B93"/>
    <mergeCell ref="E93:I93"/>
    <mergeCell ref="E99:L99"/>
    <mergeCell ref="E101:L101"/>
    <mergeCell ref="B78:C78"/>
    <mergeCell ref="F78:H78"/>
    <mergeCell ref="J78:K78"/>
    <mergeCell ref="B79:C79"/>
    <mergeCell ref="F79:H79"/>
    <mergeCell ref="J79:K79"/>
    <mergeCell ref="J76:K76"/>
    <mergeCell ref="B71:C71"/>
    <mergeCell ref="D71:F71"/>
    <mergeCell ref="G71:H71"/>
    <mergeCell ref="B72:C72"/>
    <mergeCell ref="D72:F72"/>
    <mergeCell ref="G72:H72"/>
    <mergeCell ref="B73:C73"/>
    <mergeCell ref="D73:F73"/>
    <mergeCell ref="G73:H73"/>
    <mergeCell ref="B76:C76"/>
    <mergeCell ref="G76:H76"/>
    <mergeCell ref="B69:C69"/>
    <mergeCell ref="D69:F69"/>
    <mergeCell ref="G69:H69"/>
    <mergeCell ref="B70:C70"/>
    <mergeCell ref="D70:F70"/>
    <mergeCell ref="G70:H70"/>
    <mergeCell ref="B67:C67"/>
    <mergeCell ref="D67:F67"/>
    <mergeCell ref="G67:H67"/>
    <mergeCell ref="B68:C68"/>
    <mergeCell ref="D68:F68"/>
    <mergeCell ref="G68:H68"/>
    <mergeCell ref="C63:I63"/>
    <mergeCell ref="B65:C65"/>
    <mergeCell ref="D65:F65"/>
    <mergeCell ref="G65:H65"/>
    <mergeCell ref="B66:C66"/>
    <mergeCell ref="D66:F66"/>
    <mergeCell ref="G66:H66"/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51" right="0.46" top="0.39370078740157483" bottom="0.43307086614173229" header="0" footer="0"/>
  <pageSetup scale="46" fitToHeight="0" orientation="landscape" r:id="rId1"/>
  <headerFooter alignWithMargins="0">
    <oddFooter>&amp;R</oddFooter>
  </headerFooter>
  <rowBreaks count="1" manualBreakCount="1">
    <brk id="82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T147"/>
  <sheetViews>
    <sheetView tabSelected="1" zoomScaleNormal="100" zoomScaleSheetLayoutView="100" workbookViewId="0">
      <pane ySplit="13" topLeftCell="A69" activePane="bottomLeft" state="frozen"/>
      <selection pane="bottomLeft" activeCell="N89" sqref="N89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5.28515625" style="1" customWidth="1"/>
    <col min="6" max="6" width="6" style="1" customWidth="1"/>
    <col min="7" max="7" width="12.7109375" style="12" customWidth="1"/>
    <col min="8" max="9" width="13.7109375" style="1" customWidth="1"/>
    <col min="10" max="10" width="15.140625" style="1" customWidth="1"/>
    <col min="11" max="11" width="16" style="1" customWidth="1"/>
    <col min="12" max="12" width="8.28515625" style="1" customWidth="1"/>
    <col min="13" max="13" width="12.5703125" style="1" bestFit="1" customWidth="1"/>
    <col min="14" max="15" width="12.85546875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56"/>
      <c r="B6" s="156"/>
      <c r="C6" s="156"/>
      <c r="D6" s="156"/>
      <c r="E6" s="156"/>
      <c r="F6" s="156"/>
      <c r="G6" s="7"/>
      <c r="H6" s="156"/>
      <c r="I6" s="156"/>
      <c r="J6" s="156"/>
      <c r="K6" s="156"/>
      <c r="L6" s="156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57"/>
      <c r="B8" s="157"/>
      <c r="C8" s="157"/>
      <c r="D8" s="157"/>
      <c r="E8" s="157"/>
      <c r="F8" s="157"/>
      <c r="G8" s="58"/>
      <c r="H8" s="157"/>
      <c r="I8" s="157"/>
      <c r="J8" s="157"/>
      <c r="K8" s="157"/>
      <c r="L8" s="157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56"/>
      <c r="E9" s="156"/>
      <c r="F9" s="156"/>
      <c r="G9" s="7"/>
      <c r="H9" s="156"/>
      <c r="I9" s="156"/>
      <c r="J9" s="156"/>
      <c r="K9" s="156"/>
      <c r="L9" s="156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58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2">
        <f>SUM(B15:B20)</f>
        <v>85942683</v>
      </c>
      <c r="C14" s="52">
        <f>SUM(C15:C20)</f>
        <v>126227080.35000001</v>
      </c>
      <c r="D14" s="52">
        <f>SUM(D15:D20)</f>
        <v>6407.4099999999989</v>
      </c>
      <c r="E14" s="19">
        <f>SUM(E15:E20)</f>
        <v>128030205.96000001</v>
      </c>
      <c r="F14" s="50">
        <f>E14/C14</f>
        <v>1.0142847763332585</v>
      </c>
      <c r="G14" s="54">
        <f>C14-E14</f>
        <v>-1803125.6099999994</v>
      </c>
      <c r="H14" s="19">
        <f>SUM(H15:H20)</f>
        <v>1841875.93</v>
      </c>
      <c r="I14" s="19">
        <f>SUM(I15:I20)</f>
        <v>0</v>
      </c>
      <c r="J14" s="19">
        <f t="shared" ref="J14" si="0">SUM(J15:J20)</f>
        <v>3750240.2199999997</v>
      </c>
      <c r="K14" s="20">
        <f>+H14+I14-J14</f>
        <v>-1908364.2899999998</v>
      </c>
      <c r="L14" s="50">
        <f>E14/B14</f>
        <v>1.4897161863098922</v>
      </c>
    </row>
    <row r="15" spans="1:19" ht="15.75" customHeight="1" x14ac:dyDescent="0.25">
      <c r="A15" s="17" t="s">
        <v>17</v>
      </c>
      <c r="B15" s="51">
        <f>80209+56555615</f>
        <v>56635824</v>
      </c>
      <c r="C15" s="51">
        <f>'[1]AI MENSUAL'!$F$10+'[1]AI MENSUAL'!$G$10+'[1]AI MENSUAL'!$H$10+'[1]AI MENSUAL'!$I$10+'[1]AI MENSUAL'!$J$10+'[1]AI MENSUAL'!$K$10+'[1]AI MENSUAL'!$L$10+'[1]AI MENSUAL'!$M$10+'[1]AI MENSUAL'!$N$10+'[1]AI MENSUAL'!$O$10+'[6]AI MENSUAL'!$AC$10</f>
        <v>112127468.72000001</v>
      </c>
      <c r="D15" s="51">
        <v>0</v>
      </c>
      <c r="E15" s="14">
        <f>SUM([2]REPO!$G$210:$Q$210)</f>
        <v>128030205.96000001</v>
      </c>
      <c r="F15" s="15">
        <f>E15/C15</f>
        <v>1.1418273097710931</v>
      </c>
      <c r="G15" s="53">
        <f>C15-E15</f>
        <v>-15902737.239999995</v>
      </c>
      <c r="H15" s="16">
        <f>-12600+1854475.93</f>
        <v>1841875.93</v>
      </c>
      <c r="I15" s="16">
        <v>0</v>
      </c>
      <c r="J15" s="16">
        <f>'[3]PASIVOS SEP'!$O$3+'[3]PASIVOS SEP'!$O$13+'[3]PASIVOS SEP'!$O$23+'[3]PASIVOS SEP'!$O$43+'[3]PASIVOS SEP'!$O$53+'[3]PASIVOS SEP'!$O$63+11988.47</f>
        <v>3750240.2199999997</v>
      </c>
      <c r="K15" s="16">
        <f>+H15+I15-J15</f>
        <v>-1908364.2899999998</v>
      </c>
      <c r="L15" s="15">
        <f t="shared" ref="L15:L29" si="1">E15/B15</f>
        <v>2.2605869733615953</v>
      </c>
    </row>
    <row r="16" spans="1:19" ht="15.75" customHeight="1" x14ac:dyDescent="0.25">
      <c r="A16" s="17" t="s">
        <v>18</v>
      </c>
      <c r="B16" s="51">
        <f>24254432</f>
        <v>24254432</v>
      </c>
      <c r="C16" s="51">
        <f>'[1]AI MENSUAL'!$F$30+'[1]AI MENSUAL'!$G$30+'[1]AI MENSUAL'!$H$30+'[1]AI MENSUAL'!$I$30+'[1]AI MENSUAL'!$J$30+'[1]AI MENSUAL'!$K$30+'[1]AI MENSUAL'!$L$30+'[1]AI MENSUAL'!$M$30+'[1]AI MENSUAL'!$N$30+'[1]AI MENSUAL'!$O$30+'[6]AI MENSUAL'!$P$30</f>
        <v>9360671.620000001</v>
      </c>
      <c r="D16" s="51">
        <v>0</v>
      </c>
      <c r="E16" s="14">
        <v>0</v>
      </c>
      <c r="F16" s="15">
        <f t="shared" ref="F16:F18" si="2">E16/C16</f>
        <v>0</v>
      </c>
      <c r="G16" s="53">
        <f>C16-E16</f>
        <v>9360671.620000001</v>
      </c>
      <c r="H16" s="16">
        <v>0</v>
      </c>
      <c r="I16" s="16">
        <v>0</v>
      </c>
      <c r="J16" s="16">
        <v>0</v>
      </c>
      <c r="K16" s="16">
        <f t="shared" ref="K16:K20" si="3">+H16+I16-J16</f>
        <v>0</v>
      </c>
      <c r="L16" s="15">
        <f t="shared" si="1"/>
        <v>0</v>
      </c>
    </row>
    <row r="17" spans="1:15" ht="15.75" customHeight="1" x14ac:dyDescent="0.25">
      <c r="A17" s="17" t="s">
        <v>19</v>
      </c>
      <c r="B17" s="51">
        <v>3924676</v>
      </c>
      <c r="C17" s="51">
        <f>'[1]AI MENSUAL'!$F$39+'[1]AI MENSUAL'!$G$39+'[1]AI MENSUAL'!$H$39+'[1]AI MENSUAL'!$I$39+'[1]AI MENSUAL'!$J$39+'[1]AI MENSUAL'!$K$39+'[1]AI MENSUAL'!$L$39+'[1]AI MENSUAL'!$M$39+'[1]AI MENSUAL'!$N$39+'[1]AI MENSUAL'!$O$39+'[6]AI MENSUAL'!$P$39</f>
        <v>4732532.5999999996</v>
      </c>
      <c r="D17" s="51">
        <v>0</v>
      </c>
      <c r="E17" s="14">
        <v>0</v>
      </c>
      <c r="F17" s="15">
        <f t="shared" si="2"/>
        <v>0</v>
      </c>
      <c r="G17" s="53">
        <f>C17-E17</f>
        <v>4732532.5999999996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5" ht="15.75" customHeight="1" x14ac:dyDescent="0.25">
      <c r="A18" s="17" t="s">
        <v>20</v>
      </c>
      <c r="B18" s="51">
        <v>1127751</v>
      </c>
      <c r="C18" s="51">
        <f>'[1]AI MENSUAL'!$F$35+'[1]AI MENSUAL'!$G$35+'[1]AI MENSUAL'!$H$35+'[1]AI MENSUAL'!$I$35+'[1]AI MENSUAL'!$J$35+'[1]AI MENSUAL'!$K$35+'[1]AI MENSUAL'!$L$35+'[1]AI MENSUAL'!$M$35+'[1]AI MENSUAL'!$N$35+'[1]AI MENSUAL'!$O$35+'[6]AI MENSUAL'!$P$35</f>
        <v>6407.4099999999989</v>
      </c>
      <c r="D18" s="51">
        <f>'[1]AI MENSUAL'!$F$35+'[1]AI MENSUAL'!$G$35+'[1]AI MENSUAL'!$H$35+'[1]AI MENSUAL'!$I$35+'[1]AI MENSUAL'!$J$35+'[1]AI MENSUAL'!$K$35+'[1]AI MENSUAL'!$L$35+'[1]AI MENSUAL'!$M$35+'[1]AI MENSUAL'!$N$35+'[1]AI MENSUAL'!$O$35+'[6]AI MENSUAL'!$P$35</f>
        <v>6407.4099999999989</v>
      </c>
      <c r="E18" s="14">
        <v>0</v>
      </c>
      <c r="F18" s="15">
        <f t="shared" si="2"/>
        <v>0</v>
      </c>
      <c r="G18" s="53">
        <f>C18-E18</f>
        <v>6407.4099999999989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5" ht="15.75" customHeight="1" x14ac:dyDescent="0.25">
      <c r="A19" s="17" t="s">
        <v>21</v>
      </c>
      <c r="B19" s="51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ref="G19:G20" si="4">C19-E19</f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  <c r="M19" s="182"/>
      <c r="N19" s="182"/>
    </row>
    <row r="20" spans="1:15" ht="15.75" customHeight="1" x14ac:dyDescent="0.25">
      <c r="A20" s="17" t="s">
        <v>22</v>
      </c>
      <c r="B20" s="51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  <c r="M20" s="182"/>
      <c r="N20" s="182"/>
    </row>
    <row r="21" spans="1:15" ht="15.75" customHeight="1" x14ac:dyDescent="0.25">
      <c r="A21" s="13" t="s">
        <v>113</v>
      </c>
      <c r="B21" s="52">
        <f>SUM(B22:B32)</f>
        <v>78799342</v>
      </c>
      <c r="C21" s="52">
        <f>SUM(C22:C33)</f>
        <v>95838977.610000014</v>
      </c>
      <c r="D21" s="52">
        <f>SUM(D22:D33)</f>
        <v>2773.6800000000007</v>
      </c>
      <c r="E21" s="19">
        <f>SUM(E22:E33)</f>
        <v>84171444.609999985</v>
      </c>
      <c r="F21" s="50">
        <f>E21/C21</f>
        <v>0.87825899972056232</v>
      </c>
      <c r="G21" s="54">
        <f>C21-E21</f>
        <v>11667533.00000003</v>
      </c>
      <c r="H21" s="19">
        <f>SUM(H22:H33)</f>
        <v>14439663.209999997</v>
      </c>
      <c r="I21" s="19">
        <f>SUM(I22:I33)</f>
        <v>0</v>
      </c>
      <c r="J21" s="19">
        <f>SUM(J22:J33)</f>
        <v>2820456.42</v>
      </c>
      <c r="K21" s="19">
        <f>SUM(K22:K33)</f>
        <v>11619206.789999997</v>
      </c>
      <c r="L21" s="50">
        <f>E21/B21</f>
        <v>1.0681744602638938</v>
      </c>
      <c r="M21" s="182">
        <v>16281539.140000001</v>
      </c>
      <c r="N21" s="183">
        <f>M21-H21</f>
        <v>1841875.9300000034</v>
      </c>
      <c r="O21" s="56"/>
    </row>
    <row r="22" spans="1:15" ht="15.75" customHeight="1" x14ac:dyDescent="0.25">
      <c r="A22" s="17" t="s">
        <v>23</v>
      </c>
      <c r="B22" s="51">
        <v>28724811</v>
      </c>
      <c r="C22" s="51">
        <f>'[1]AI MENSUAL'!$F$52+'[1]AI MENSUAL'!$G$52+'[1]AI MENSUAL'!$H$52+'[1]AI MENSUAL'!$I$52+'[1]AI MENSUAL'!$J$52+'[1]AI MENSUAL'!$K$52+'[1]AI MENSUAL'!$L$52+'[1]AI MENSUAL'!$M$52+'[1]AI MENSUAL'!$N$52+'[1]AI MENSUAL'!$O$52+'[6]AI MENSUAL'!$P$52</f>
        <v>39247618.200000003</v>
      </c>
      <c r="D22" s="51">
        <f>'[1]AI MENSUAL'!$F$53+'[1]AI MENSUAL'!$G$53+'[1]AI MENSUAL'!$H$53+'[1]AI MENSUAL'!$I$53+'[1]AI MENSUAL'!$J$53+'[1]AI MENSUAL'!$K$53+'[1]AI MENSUAL'!$L$53+'[1]AI MENSUAL'!$M$53+'[1]AI MENSUAL'!$N$53+'[1]AI MENSUAL'!$O$53+'[6]AI MENSUAL'!$P$53</f>
        <v>1501.6100000000001</v>
      </c>
      <c r="E22" s="14">
        <f>SUM([2]FGP!$G$27:$Q$27)</f>
        <v>37135002.579999998</v>
      </c>
      <c r="F22" s="15">
        <f>E22/C22</f>
        <v>0.94617213179066229</v>
      </c>
      <c r="G22" s="53">
        <f>C22-E22</f>
        <v>2112615.6200000048</v>
      </c>
      <c r="H22" s="16">
        <f>2911035.61</f>
        <v>2911035.61</v>
      </c>
      <c r="I22" s="16">
        <v>0</v>
      </c>
      <c r="J22" s="16">
        <f>'[3]PASIVOS SEP'!$B$4+'[3]PASIVOS SEP'!$B$44</f>
        <v>546867.83000000007</v>
      </c>
      <c r="K22" s="16">
        <f t="shared" ref="K22:K33" si="5">+H22+I22-J22</f>
        <v>2364167.7799999998</v>
      </c>
      <c r="L22" s="15">
        <f>E22/B22</f>
        <v>1.292784923110547</v>
      </c>
      <c r="M22" s="179">
        <f>[3]Hoja1!$B$9+[3]Hoja1!$C$9+[3]Hoja1!$D$9+[3]Hoja1!$E$9+[3]Hoja1!$F$9+[3]Hoja1!$G$9+[3]Hoja1!$H$9+[3]Hoja1!$I$9+[3]Hoja1!$J$9</f>
        <v>6159279.4800000004</v>
      </c>
      <c r="N22" s="183">
        <f>M22-J21</f>
        <v>3338823.0600000005</v>
      </c>
    </row>
    <row r="23" spans="1:15" ht="15.75" customHeight="1" x14ac:dyDescent="0.25">
      <c r="A23" s="17" t="s">
        <v>24</v>
      </c>
      <c r="B23" s="51">
        <v>7609418</v>
      </c>
      <c r="C23" s="51">
        <f>'[1]AI MENSUAL'!$F$101+'[1]AI MENSUAL'!$G$101+'[1]AI MENSUAL'!$H$101+'[1]AI MENSUAL'!$I$101+'[1]AI MENSUAL'!$J$101+'[1]AI MENSUAL'!$K$101+'[1]AI MENSUAL'!$L$101+'[1]AI MENSUAL'!$M$101+'[1]AI MENSUAL'!$N$101+'[1]AI MENSUAL'!$O$101+'[6]AI MENSUAL'!$P$101</f>
        <v>7442074.0000000019</v>
      </c>
      <c r="D23" s="51">
        <f>'[1]AI MENSUAL'!$F$102+'[1]AI MENSUAL'!$G$102+'[1]AI MENSUAL'!$H$102+'[1]AI MENSUAL'!$I$102+'[1]AI MENSUAL'!$J$102+'[1]AI MENSUAL'!$K$102+'[1]AI MENSUAL'!$L$102+'[1]AI MENSUAL'!$M$102+'[1]AI MENSUAL'!$N$102+'[1]AI MENSUAL'!$O$102+'[6]AI MENSUAL'!$P$102</f>
        <v>853.49</v>
      </c>
      <c r="E23" s="14">
        <f>SUM([2]FISM!$G$55:$Q$55)</f>
        <v>4837309.67</v>
      </c>
      <c r="F23" s="15">
        <f t="shared" ref="F23:F29" si="6">E23/C23</f>
        <v>0.64999483611692099</v>
      </c>
      <c r="G23" s="53">
        <f t="shared" ref="G23:G31" si="7">C23-E23</f>
        <v>2604764.3300000019</v>
      </c>
      <c r="H23" s="16">
        <f>4173677.32</f>
        <v>4173677.32</v>
      </c>
      <c r="I23" s="16">
        <v>0</v>
      </c>
      <c r="J23" s="16">
        <f>'[3]PASIVOS SEP'!$B$24+'[3]PASIVOS SEP'!$B$56</f>
        <v>1567657.23</v>
      </c>
      <c r="K23" s="16">
        <f t="shared" si="5"/>
        <v>2606020.09</v>
      </c>
      <c r="L23" s="15">
        <f t="shared" si="1"/>
        <v>0.6357003479109703</v>
      </c>
      <c r="M23" s="182">
        <v>4854163.4800000004</v>
      </c>
      <c r="N23" s="183">
        <f>M23-J21</f>
        <v>2033707.0600000005</v>
      </c>
    </row>
    <row r="24" spans="1:15" ht="15.75" customHeight="1" x14ac:dyDescent="0.25">
      <c r="A24" s="17" t="s">
        <v>25</v>
      </c>
      <c r="B24" s="51">
        <v>26777000</v>
      </c>
      <c r="C24" s="51">
        <f>'[1]AI MENSUAL'!$F$104+'[1]AI MENSUAL'!$G$104+'[1]AI MENSUAL'!$H$104+'[1]AI MENSUAL'!$I$104+'[1]AI MENSUAL'!$J$104+'[1]AI MENSUAL'!$K$104+'[1]AI MENSUAL'!$L$104+'[1]AI MENSUAL'!$M$104+'[1]AI MENSUAL'!$N$104+'[1]AI MENSUAL'!$O$104+'[6]AI MENSUAL'!$P$104</f>
        <v>25345278.859999992</v>
      </c>
      <c r="D24" s="51">
        <f>'[1]AI MENSUAL'!$F$105+'[1]AI MENSUAL'!$G$105+'[1]AI MENSUAL'!$H$105+'[1]AI MENSUAL'!$I$105+'[1]AI MENSUAL'!$J$105+'[1]AI MENSUAL'!$K$105+'[1]AI MENSUAL'!$L$105+'[1]AI MENSUAL'!$M$105+'[1]AI MENSUAL'!$N$105+'[1]AI MENSUAL'!$O$105+'[6]AI MENSUAL'!$P$105</f>
        <v>41.260000000000005</v>
      </c>
      <c r="E24" s="14">
        <f>SUM([2]FORTAMUN!$G$33:$Q$33)</f>
        <v>23010839.599999998</v>
      </c>
      <c r="F24" s="15">
        <f t="shared" si="6"/>
        <v>0.90789451270610344</v>
      </c>
      <c r="G24" s="53">
        <f>C24-E24</f>
        <v>2334439.2599999942</v>
      </c>
      <c r="H24" s="16">
        <f>2449262.78</f>
        <v>2449262.7799999998</v>
      </c>
      <c r="I24" s="16">
        <v>0</v>
      </c>
      <c r="J24" s="16">
        <f>'[3]PASIVOS SEP'!$B$45</f>
        <v>114742.25</v>
      </c>
      <c r="K24" s="16">
        <f t="shared" si="5"/>
        <v>2334520.5299999998</v>
      </c>
      <c r="L24" s="15">
        <f t="shared" si="1"/>
        <v>0.85935092056615747</v>
      </c>
      <c r="M24" s="182"/>
      <c r="N24" s="182"/>
    </row>
    <row r="25" spans="1:15" ht="15.75" customHeight="1" x14ac:dyDescent="0.25">
      <c r="A25" s="17" t="s">
        <v>26</v>
      </c>
      <c r="B25" s="51">
        <v>1161847</v>
      </c>
      <c r="C25" s="51">
        <f>'[1]AI MENSUAL'!$F$77+'[1]AI MENSUAL'!$G$77+'[1]AI MENSUAL'!$H$77+'[1]AI MENSUAL'!$I$77+'[1]AI MENSUAL'!$J$77+'[1]AI MENSUAL'!$K$77+'[1]AI MENSUAL'!$L$77+'[1]AI MENSUAL'!$M$77+'[1]AI MENSUAL'!$N$77+'[1]AI MENSUAL'!$O$77+'[6]AI MENSUAL'!$P$77</f>
        <v>1705157.45</v>
      </c>
      <c r="D25" s="51">
        <f>'[1]AI MENSUAL'!$F$78+'[1]AI MENSUAL'!$G$78+'[1]AI MENSUAL'!$H$78+'[1]AI MENSUAL'!$I$78+'[1]AI MENSUAL'!$J$78+'[1]AI MENSUAL'!$K$78+'[1]AI MENSUAL'!$L$78+'[1]AI MENSUAL'!$M$78+'[1]AI MENSUAL'!$N$78+'[1]AI MENSUAL'!$O$78+'[6]AI MENSUAL'!$P$78</f>
        <v>33.769999999999996</v>
      </c>
      <c r="E25" s="14">
        <f>SUM([2]FFR!$G$25:$Q$25)</f>
        <v>1004585.3799999999</v>
      </c>
      <c r="F25" s="15">
        <f t="shared" si="6"/>
        <v>0.58914523113393424</v>
      </c>
      <c r="G25" s="53">
        <f t="shared" si="7"/>
        <v>700572.07000000007</v>
      </c>
      <c r="H25" s="16">
        <f>813605.66</f>
        <v>813605.66</v>
      </c>
      <c r="I25" s="16">
        <v>0</v>
      </c>
      <c r="J25" s="16">
        <f>'[3]PASIVOS SEP'!$B$6+'[3]PASIVOS SEP'!$B$46</f>
        <v>9947.23</v>
      </c>
      <c r="K25" s="16">
        <f t="shared" si="5"/>
        <v>803658.43</v>
      </c>
      <c r="L25" s="15">
        <f t="shared" si="1"/>
        <v>0.86464515551531307</v>
      </c>
    </row>
    <row r="26" spans="1:15" ht="15.75" customHeight="1" x14ac:dyDescent="0.25">
      <c r="A26" s="17" t="s">
        <v>90</v>
      </c>
      <c r="B26" s="51">
        <v>12284567</v>
      </c>
      <c r="C26" s="51">
        <f>'[1]AI MENSUAL'!$F$48+'[1]AI MENSUAL'!$G$48+'[1]AI MENSUAL'!$H$48+'[1]AI MENSUAL'!$I$48+'[1]AI MENSUAL'!$J$48+'[1]AI MENSUAL'!$K$48+'[1]AI MENSUAL'!$L$48+'[1]AI MENSUAL'!$M$48+'[1]AI MENSUAL'!$N$48+'[1]AI MENSUAL'!$O$48+'[6]AI MENSUAL'!$P$48</f>
        <v>12466861.789999999</v>
      </c>
      <c r="D26" s="51">
        <f>'[1]AI MENSUAL'!$F$49+'[1]AI MENSUAL'!$G$49+'[1]AI MENSUAL'!$H$49+'[1]AI MENSUAL'!$I$49+'[1]AI MENSUAL'!$J$49+'[1]AI MENSUAL'!$K$49+'[1]AI MENSUAL'!$L$49+'[1]AI MENSUAL'!$M$49+'[1]AI MENSUAL'!$N$49+'[1]AI MENSUAL'!$O$49+'[6]AI MENSUAL'!$P$49</f>
        <v>214.78</v>
      </c>
      <c r="E26" s="14">
        <f>SUM([2]FFM!$T$21:$AD$21)</f>
        <v>11113428.51</v>
      </c>
      <c r="F26" s="15">
        <f t="shared" si="6"/>
        <v>0.89143753233186362</v>
      </c>
      <c r="G26" s="53">
        <f t="shared" si="7"/>
        <v>1353433.2799999993</v>
      </c>
      <c r="H26" s="16">
        <f>1519227.2</f>
        <v>1519227.2</v>
      </c>
      <c r="I26" s="16">
        <v>0</v>
      </c>
      <c r="J26" s="16">
        <v>0</v>
      </c>
      <c r="K26" s="16">
        <f t="shared" si="5"/>
        <v>1519227.2</v>
      </c>
      <c r="L26" s="15">
        <f t="shared" si="1"/>
        <v>0.90466587141410848</v>
      </c>
    </row>
    <row r="27" spans="1:15" ht="15.75" customHeight="1" x14ac:dyDescent="0.25">
      <c r="A27" s="17" t="s">
        <v>91</v>
      </c>
      <c r="B27" s="51">
        <v>639170</v>
      </c>
      <c r="C27" s="51">
        <f>'[1]AI MENSUAL'!$F$62+'[1]AI MENSUAL'!$G$62+'[1]AI MENSUAL'!$H$62+'[1]AI MENSUAL'!$I$62+'[1]AI MENSUAL'!$J$62+'[1]AI MENSUAL'!$K$62+'[1]AI MENSUAL'!$L$62+'[1]AI MENSUAL'!$M$62+'[1]AI MENSUAL'!$M$66+'[1]AI MENSUAL'!$N$62+'[1]AI MENSUAL'!$O$62+'[6]AI MENSUAL'!$P$62</f>
        <v>737531.67</v>
      </c>
      <c r="D27" s="51">
        <f>'[1]AI MENSUAL'!$F$63+'[1]AI MENSUAL'!$G$63+'[1]AI MENSUAL'!$H$63+'[1]AI MENSUAL'!$I$63+'[1]AI MENSUAL'!$J$63+'[1]AI MENSUAL'!$K$63+'[1]AI MENSUAL'!$L$63+'[1]AI MENSUAL'!$M$63+'[1]AI MENSUAL'!$N$63+'[1]AI MENSUAL'!$O$63+'[6]AI MENSUAL'!$P$63</f>
        <v>1.23</v>
      </c>
      <c r="E27" s="14">
        <f>SUM('[2]IEPS TAB'!$G$11:$Q$11)</f>
        <v>657443.52</v>
      </c>
      <c r="F27" s="15">
        <f t="shared" si="6"/>
        <v>0.89141056139324837</v>
      </c>
      <c r="G27" s="53">
        <f t="shared" si="7"/>
        <v>80088.150000000023</v>
      </c>
      <c r="H27" s="16">
        <f>80089.55</f>
        <v>80089.55</v>
      </c>
      <c r="I27" s="16">
        <v>0</v>
      </c>
      <c r="J27" s="16">
        <v>0</v>
      </c>
      <c r="K27" s="16">
        <f t="shared" si="5"/>
        <v>80089.55</v>
      </c>
      <c r="L27" s="15">
        <f t="shared" si="1"/>
        <v>1.0285894519454919</v>
      </c>
    </row>
    <row r="28" spans="1:15" ht="15.75" customHeight="1" x14ac:dyDescent="0.25">
      <c r="A28" s="17" t="s">
        <v>94</v>
      </c>
      <c r="B28" s="51">
        <v>1325120</v>
      </c>
      <c r="C28" s="51">
        <f>'[1]AI MENSUAL'!$F$58+'[1]AI MENSUAL'!$G$58+'[1]AI MENSUAL'!$H$58+'[1]AI MENSUAL'!$I$58+'[1]AI MENSUAL'!$J$58+'[1]AI MENSUAL'!$K$58+'[1]AI MENSUAL'!$L$58+'[1]AI MENSUAL'!$M$58+'[1]AI MENSUAL'!$N$58+'[1]AI MENSUAL'!$O$58+'[6]AI MENSUAL'!$P$58</f>
        <v>1225823.29</v>
      </c>
      <c r="D28" s="51">
        <f>'[1]AI MENSUAL'!$F$59+'[1]AI MENSUAL'!$G$59+'[1]AI MENSUAL'!$H$59+'[1]AI MENSUAL'!$I$59+'[1]AI MENSUAL'!$J$59+'[1]AI MENSUAL'!$K$59+'[1]AI MENSUAL'!$L$59+'[1]AI MENSUAL'!$M$59+'[1]AI MENSUAL'!$N$59+'[1]AI MENSUAL'!$O$59+'[6]AI MENSUAL'!$P$59</f>
        <v>6.23</v>
      </c>
      <c r="E28" s="14">
        <f>SUM('[2]IEPS GAS'!$G$11:$Q$11)</f>
        <v>1125653.1400000001</v>
      </c>
      <c r="F28" s="15">
        <f t="shared" si="6"/>
        <v>0.91828336855959081</v>
      </c>
      <c r="G28" s="53">
        <f t="shared" si="7"/>
        <v>100170.14999999991</v>
      </c>
      <c r="H28" s="16">
        <f>100176.9</f>
        <v>100176.9</v>
      </c>
      <c r="I28" s="16">
        <v>0</v>
      </c>
      <c r="J28" s="16">
        <v>0</v>
      </c>
      <c r="K28" s="16">
        <f t="shared" si="5"/>
        <v>100176.9</v>
      </c>
      <c r="L28" s="15">
        <f t="shared" si="1"/>
        <v>0.84947260625452803</v>
      </c>
    </row>
    <row r="29" spans="1:15" ht="15.75" customHeight="1" x14ac:dyDescent="0.25">
      <c r="A29" s="17" t="s">
        <v>92</v>
      </c>
      <c r="B29" s="51">
        <v>50110</v>
      </c>
      <c r="C29" s="51">
        <f>'[1]AI MENSUAL'!$F$70+'[1]AI MENSUAL'!$G$70+'[1]AI MENSUAL'!$H$70+'[1]AI MENSUAL'!$I$70+'[1]AI MENSUAL'!$J$70+'[1]AI MENSUAL'!$K$70+'[1]AI MENSUAL'!$L$70+'[1]AI MENSUAL'!$M$70+'[1]AI MENSUAL'!$N$70+'[1]AI MENSUAL'!$O$70+'[6]AI MENSUAL'!$P$70</f>
        <v>87513.800000000017</v>
      </c>
      <c r="D29" s="51">
        <f>'[1]AI MENSUAL'!$F$71+'[1]AI MENSUAL'!$G$71+'[1]AI MENSUAL'!$H$71+'[1]AI MENSUAL'!$I$71+'[1]AI MENSUAL'!$J$71+'[1]AI MENSUAL'!$K$71+'[1]AI MENSUAL'!$L$71+'[1]AI MENSUAL'!$M$71+'[1]AI MENSUAL'!$N$71+'[1]AI MENSUAL'!$O$71+'[6]AI MENSUAL'!$P$71</f>
        <v>0.78999999999999992</v>
      </c>
      <c r="E29" s="51">
        <f>SUM([2]CISAN!$G$11:$Q$11)</f>
        <v>59331.569999999992</v>
      </c>
      <c r="F29" s="185">
        <f t="shared" si="6"/>
        <v>0.67796816045012309</v>
      </c>
      <c r="G29" s="53">
        <f t="shared" si="7"/>
        <v>28182.230000000025</v>
      </c>
      <c r="H29" s="53">
        <f>28183.04</f>
        <v>28183.040000000001</v>
      </c>
      <c r="I29" s="53">
        <v>0</v>
      </c>
      <c r="J29" s="53">
        <v>0</v>
      </c>
      <c r="K29" s="16">
        <f t="shared" si="5"/>
        <v>28183.040000000001</v>
      </c>
      <c r="L29" s="15">
        <f t="shared" si="1"/>
        <v>1.1840265416084612</v>
      </c>
    </row>
    <row r="30" spans="1:15" ht="15.75" customHeight="1" x14ac:dyDescent="0.25">
      <c r="A30" s="17" t="s">
        <v>93</v>
      </c>
      <c r="B30" s="51">
        <v>227299</v>
      </c>
      <c r="C30" s="51">
        <f>'[1]AI MENSUAL'!$F$67+'[1]AI MENSUAL'!$G$67+'[1]AI MENSUAL'!$H$67+'[1]AI MENSUAL'!$I$67+'[1]AI MENSUAL'!$J$67+'[1]AI MENSUAL'!$K$67+'[1]AI MENSUAL'!$L$67+'[1]AI MENSUAL'!$M$67+'[1]AI MENSUAL'!$N$67+'[1]AI MENSUAL'!$O$67+'[6]AI MENSUAL'!$P$67</f>
        <v>541485.68999999994</v>
      </c>
      <c r="D30" s="51">
        <f>'[1]AI MENSUAL'!$F$68+'[1]AI MENSUAL'!$G$68+'[1]AI MENSUAL'!$H$68+'[1]AI MENSUAL'!$I$68+'[1]AI MENSUAL'!$J$68+'[1]AI MENSUAL'!$K$68+'[1]AI MENSUAL'!$L$68+'[1]AI MENSUAL'!$M$68+'[1]AI MENSUAL'!$N$68+'[1]AI MENSUAL'!$O$68+'[6]AI MENSUAL'!$P$68</f>
        <v>2.69</v>
      </c>
      <c r="E30" s="51">
        <f>SUM([2]ISAN!$G$11:$Q$11)</f>
        <v>507700.92</v>
      </c>
      <c r="F30" s="185">
        <f>E30/C30</f>
        <v>0.93760727084034301</v>
      </c>
      <c r="G30" s="53">
        <f>C30-E30</f>
        <v>33784.76999999996</v>
      </c>
      <c r="H30" s="53">
        <f>33788.22</f>
        <v>33788.22</v>
      </c>
      <c r="I30" s="53">
        <v>0</v>
      </c>
      <c r="J30" s="53">
        <v>0</v>
      </c>
      <c r="K30" s="16">
        <f t="shared" si="5"/>
        <v>33788.22</v>
      </c>
      <c r="L30" s="15">
        <f>E30/B30</f>
        <v>2.2336258408527971</v>
      </c>
    </row>
    <row r="31" spans="1:15" ht="15.75" customHeight="1" x14ac:dyDescent="0.25">
      <c r="A31" s="17" t="s">
        <v>95</v>
      </c>
      <c r="B31" s="51">
        <v>0</v>
      </c>
      <c r="C31" s="51">
        <f>'[1]AI MENSUAL'!$F$95+'[1]AI MENSUAL'!$G$95+'[1]AI MENSUAL'!$H$95+'[1]AI MENSUAL'!$I$95+'[1]AI MENSUAL'!$J$95+'[1]AI MENSUAL'!$K$95+'[1]AI MENSUAL'!$L$95+'[1]AI MENSUAL'!$M$95+'[1]AI MENSUAL'!$N$95+'[1]AI MENSUAL'!$O$95+'[6]AI MENSUAL'!$P$95</f>
        <v>40611</v>
      </c>
      <c r="D31" s="51">
        <f>'[1]AI MENSUAL'!$F$96+'[1]AI MENSUAL'!$G$96+'[1]AI MENSUAL'!$H$96+'[1]AI MENSUAL'!$I$96+'[1]AI MENSUAL'!$J$96+'[1]AI MENSUAL'!$K$96+'[1]AI MENSUAL'!$L$96+'[1]AI MENSUAL'!$M$96+'[1]AI MENSUAL'!$N$96+'[1]AI MENSUAL'!$O$96+'[6]AI MENSUAL'!$P$96</f>
        <v>0.36</v>
      </c>
      <c r="E31" s="51">
        <f>SUM([2]PRODDER!$G$12:$Q$12)</f>
        <v>81222.64</v>
      </c>
      <c r="F31" s="185">
        <v>0</v>
      </c>
      <c r="G31" s="53">
        <f t="shared" si="7"/>
        <v>-40611.64</v>
      </c>
      <c r="H31" s="53">
        <f>0.36</f>
        <v>0.36</v>
      </c>
      <c r="I31" s="53">
        <v>0</v>
      </c>
      <c r="J31" s="53">
        <v>0</v>
      </c>
      <c r="K31" s="16">
        <f t="shared" si="5"/>
        <v>0.36</v>
      </c>
      <c r="L31" s="15">
        <v>0</v>
      </c>
    </row>
    <row r="32" spans="1:15" ht="15.75" customHeight="1" x14ac:dyDescent="0.25">
      <c r="A32" s="17" t="s">
        <v>27</v>
      </c>
      <c r="B32" s="51">
        <v>0</v>
      </c>
      <c r="C32" s="51">
        <f>'[1]AI MENSUAL'!$F$89+'[1]AI MENSUAL'!$G$89+'[1]AI MENSUAL'!$H$89+'[1]AI MENSUAL'!$I$89+'[1]AI MENSUAL'!$J$89+'[1]AI MENSUAL'!$K$89+'[1]AI MENSUAL'!$L$89+'[1]AI MENSUAL'!$M$89+'[1]AI MENSUAL'!$N$89+'[1]AI MENSUAL'!$O$89+'[6]AI MENSUAL'!$P$89</f>
        <v>5016490</v>
      </c>
      <c r="D32" s="51">
        <f>'[1]AI MENSUAL'!$F$90+'[1]AI MENSUAL'!$G$90+'[1]AI MENSUAL'!$H$90+'[1]AI MENSUAL'!$I$90+'[1]AI MENSUAL'!$J$90+'[1]AI MENSUAL'!$K$90+'[1]AI MENSUAL'!$L$90+'[1]AI MENSUAL'!$M$90+'[1]AI MENSUAL'!$N$90+'[1]AI MENSUAL'!$O$90+'[6]AI MENSUAL'!$P$90</f>
        <v>116.7</v>
      </c>
      <c r="E32" s="51">
        <f>SUM([2]ISR!$G$47:$Q$47)</f>
        <v>4456177.0200000005</v>
      </c>
      <c r="F32" s="185">
        <f>E32/C32</f>
        <v>0.88830577156537749</v>
      </c>
      <c r="G32" s="53">
        <f>C32-E32</f>
        <v>560312.97999999952</v>
      </c>
      <c r="H32" s="53">
        <f>560433.11</f>
        <v>560433.11</v>
      </c>
      <c r="I32" s="53">
        <v>0</v>
      </c>
      <c r="J32" s="53">
        <v>0</v>
      </c>
      <c r="K32" s="16">
        <f t="shared" si="5"/>
        <v>560433.11</v>
      </c>
      <c r="L32" s="15">
        <v>0</v>
      </c>
    </row>
    <row r="33" spans="1:12" ht="15.75" customHeight="1" x14ac:dyDescent="0.25">
      <c r="A33" s="17" t="s">
        <v>116</v>
      </c>
      <c r="B33" s="51">
        <v>0</v>
      </c>
      <c r="C33" s="51">
        <f>'[6]AI MENSUAL'!$O$133+'[6]AI MENSUAL'!$P$133</f>
        <v>1982531.86</v>
      </c>
      <c r="D33" s="51">
        <f>'[6]AI MENSUAL'!$P$134</f>
        <v>0.77</v>
      </c>
      <c r="E33" s="51">
        <f>SUM([2]FEIEF!$G$26:$Q$26)</f>
        <v>182750.06000000003</v>
      </c>
      <c r="F33" s="185">
        <f>E33/C33</f>
        <v>9.2180137775944748E-2</v>
      </c>
      <c r="G33" s="53">
        <f>C33-E33</f>
        <v>1799781.8</v>
      </c>
      <c r="H33" s="53">
        <v>1770183.46</v>
      </c>
      <c r="I33" s="53">
        <v>0</v>
      </c>
      <c r="J33" s="53">
        <v>581241.87999999989</v>
      </c>
      <c r="K33" s="16">
        <f t="shared" si="5"/>
        <v>1188941.58</v>
      </c>
      <c r="L33" s="15">
        <v>0</v>
      </c>
    </row>
    <row r="34" spans="1:12" ht="15.75" customHeight="1" x14ac:dyDescent="0.25">
      <c r="A34" s="13" t="s">
        <v>97</v>
      </c>
      <c r="B34" s="52">
        <f>SUM(B36:B46)</f>
        <v>0</v>
      </c>
      <c r="C34" s="52">
        <f>SUM(C35:C47)</f>
        <v>0</v>
      </c>
      <c r="D34" s="52">
        <f>SUM(D35:D47)</f>
        <v>594.92000000000007</v>
      </c>
      <c r="E34" s="52">
        <f>SUM(E35:E47)</f>
        <v>0</v>
      </c>
      <c r="F34" s="184">
        <v>0</v>
      </c>
      <c r="G34" s="54">
        <f>C34-E34</f>
        <v>0</v>
      </c>
      <c r="H34" s="52">
        <f>SUM(H35:H47)</f>
        <v>0</v>
      </c>
      <c r="I34" s="52">
        <f>SUM(I35:I47)</f>
        <v>0</v>
      </c>
      <c r="J34" s="52">
        <f>SUM(J35:J47)</f>
        <v>0</v>
      </c>
      <c r="K34" s="19">
        <f>SUM(K35:K47)</f>
        <v>0</v>
      </c>
      <c r="L34" s="50">
        <v>0</v>
      </c>
    </row>
    <row r="35" spans="1:12" ht="15.75" customHeight="1" x14ac:dyDescent="0.25">
      <c r="A35" s="17" t="s">
        <v>99</v>
      </c>
      <c r="B35" s="51">
        <v>0</v>
      </c>
      <c r="C35" s="51">
        <v>0</v>
      </c>
      <c r="D35" s="51">
        <v>0</v>
      </c>
      <c r="E35" s="51">
        <v>0</v>
      </c>
      <c r="F35" s="185">
        <v>0</v>
      </c>
      <c r="G35" s="53">
        <f>C35-E35</f>
        <v>0</v>
      </c>
      <c r="H35" s="53">
        <v>0</v>
      </c>
      <c r="I35" s="53">
        <v>0</v>
      </c>
      <c r="J35" s="53">
        <v>0</v>
      </c>
      <c r="K35" s="16">
        <f>+H35+I35-J35</f>
        <v>0</v>
      </c>
      <c r="L35" s="15">
        <v>0</v>
      </c>
    </row>
    <row r="36" spans="1:12" ht="15.75" customHeight="1" x14ac:dyDescent="0.25">
      <c r="A36" s="17" t="s">
        <v>23</v>
      </c>
      <c r="B36" s="51">
        <v>0</v>
      </c>
      <c r="C36" s="51">
        <v>0</v>
      </c>
      <c r="D36" s="51">
        <f>'[1]AI MENSUAL'!$F$54+'[1]AI MENSUAL'!$G$54+'[1]AI MENSUAL'!$H$54+'[1]AI MENSUAL'!$I$54+'[1]AI MENSUAL'!$J$54+'[1]AI MENSUAL'!$K$54+'[1]AI MENSUAL'!$L$54+'[1]AI MENSUAL'!$M$54+'[1]AI MENSUAL'!$N$60+'[1]AI MENSUAL'!$N$54+'[1]AI MENSUAL'!$O$54</f>
        <v>123.86000000000003</v>
      </c>
      <c r="E36" s="51">
        <v>0</v>
      </c>
      <c r="F36" s="185">
        <v>0</v>
      </c>
      <c r="G36" s="53">
        <f>C36-E36</f>
        <v>0</v>
      </c>
      <c r="H36" s="53">
        <v>0</v>
      </c>
      <c r="I36" s="53">
        <v>0</v>
      </c>
      <c r="J36" s="53">
        <v>0</v>
      </c>
      <c r="K36" s="16">
        <f>+H36+I36-J36</f>
        <v>0</v>
      </c>
      <c r="L36" s="15">
        <v>0</v>
      </c>
    </row>
    <row r="37" spans="1:12" ht="15.75" customHeight="1" x14ac:dyDescent="0.25">
      <c r="A37" s="17" t="s">
        <v>24</v>
      </c>
      <c r="B37" s="51">
        <v>0</v>
      </c>
      <c r="C37" s="51">
        <v>0</v>
      </c>
      <c r="D37" s="51">
        <f>'[1]AI MENSUAL'!$F$103+'[1]AI MENSUAL'!$G$103+'[1]AI MENSUAL'!$H$103+'[1]AI MENSUAL'!$I$103+'[1]AI MENSUAL'!$J$103+'[1]AI MENSUAL'!$L$103+'[1]AI MENSUAL'!$M$103+'[1]AI MENSUAL'!$N$103+'[1]AI MENSUAL'!$O$103</f>
        <v>402.27000000000004</v>
      </c>
      <c r="E37" s="51">
        <v>0</v>
      </c>
      <c r="F37" s="185">
        <v>0</v>
      </c>
      <c r="G37" s="53">
        <f t="shared" ref="G37:G60" si="8">C37-E37</f>
        <v>0</v>
      </c>
      <c r="H37" s="53">
        <v>0</v>
      </c>
      <c r="I37" s="53">
        <v>0</v>
      </c>
      <c r="J37" s="53">
        <v>0</v>
      </c>
      <c r="K37" s="16">
        <f t="shared" ref="K37:K45" si="9">+H37+I37-J37</f>
        <v>0</v>
      </c>
      <c r="L37" s="15">
        <v>0</v>
      </c>
    </row>
    <row r="38" spans="1:12" ht="15.75" customHeight="1" x14ac:dyDescent="0.25">
      <c r="A38" s="17" t="s">
        <v>25</v>
      </c>
      <c r="B38" s="51">
        <v>0</v>
      </c>
      <c r="C38" s="51">
        <v>0</v>
      </c>
      <c r="D38" s="51">
        <f>'[1]AI MENSUAL'!$F$106+'[1]AI MENSUAL'!$G$106+'[1]AI MENSUAL'!$H$106+'[1]AI MENSUAL'!$I$106+'[1]AI MENSUAL'!$J$106+'[1]AI MENSUAL'!$K$106+'[1]AI MENSUAL'!$L$106+'[1]AI MENSUAL'!$M$106+'[1]AI MENSUAL'!$N$106+'[1]AI MENSUAL'!$O$106</f>
        <v>40.109999999999992</v>
      </c>
      <c r="E38" s="51">
        <v>0</v>
      </c>
      <c r="F38" s="185">
        <v>0</v>
      </c>
      <c r="G38" s="53">
        <f t="shared" si="8"/>
        <v>0</v>
      </c>
      <c r="H38" s="53">
        <v>0</v>
      </c>
      <c r="I38" s="53">
        <v>0</v>
      </c>
      <c r="J38" s="53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26</v>
      </c>
      <c r="B39" s="51">
        <v>0</v>
      </c>
      <c r="C39" s="51">
        <v>0</v>
      </c>
      <c r="D39" s="51">
        <f>'[1]AI MENSUAL'!$F$79+'[1]AI MENSUAL'!$G$79+'[1]AI MENSUAL'!$H$79+'[1]AI MENSUAL'!$I$79+'[1]AI MENSUAL'!$J$79+'[1]AI MENSUAL'!$K$79+'[1]AI MENSUAL'!$L$79+'[1]AI MENSUAL'!$M$79+'[1]AI MENSUAL'!$O$79</f>
        <v>6.5200000000000005</v>
      </c>
      <c r="E39" s="51">
        <v>0</v>
      </c>
      <c r="F39" s="185">
        <v>0</v>
      </c>
      <c r="G39" s="53">
        <f t="shared" si="8"/>
        <v>0</v>
      </c>
      <c r="H39" s="53">
        <v>0</v>
      </c>
      <c r="I39" s="53">
        <v>0</v>
      </c>
      <c r="J39" s="53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90</v>
      </c>
      <c r="B40" s="51">
        <v>0</v>
      </c>
      <c r="C40" s="51">
        <v>0</v>
      </c>
      <c r="D40" s="51">
        <f>'[1]AI MENSUAL'!$F$50+'[1]AI MENSUAL'!$G$50+'[1]AI MENSUAL'!$H$50+'[1]AI MENSUAL'!$I$50+'[1]AI MENSUAL'!$J$50+'[1]AI MENSUAL'!$K$50+'[1]AI MENSUAL'!$M$50+'[1]AI MENSUAL'!$N$50+'[1]AI MENSUAL'!$O$50</f>
        <v>16.68</v>
      </c>
      <c r="E40" s="51">
        <v>0</v>
      </c>
      <c r="F40" s="185">
        <v>0</v>
      </c>
      <c r="G40" s="53">
        <f t="shared" si="8"/>
        <v>0</v>
      </c>
      <c r="H40" s="53">
        <v>0</v>
      </c>
      <c r="I40" s="53">
        <v>0</v>
      </c>
      <c r="J40" s="53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91</v>
      </c>
      <c r="B41" s="51">
        <v>0</v>
      </c>
      <c r="C41" s="51">
        <v>0</v>
      </c>
      <c r="D41" s="51">
        <f>'[1]AI MENSUAL'!$F$64+'[1]AI MENSUAL'!$G$64+'[1]AI MENSUAL'!$H$64+'[1]AI MENSUAL'!$I$64+'[1]AI MENSUAL'!$J$64+'[1]AI MENSUAL'!$K$64+'[1]AI MENSUAL'!$L$64+'[1]AI MENSUAL'!$M$64+'[1]AI MENSUAL'!$N$64+'[1]AI MENSUAL'!$O$64</f>
        <v>0.2</v>
      </c>
      <c r="E41" s="51">
        <v>0</v>
      </c>
      <c r="F41" s="185">
        <v>0</v>
      </c>
      <c r="G41" s="53">
        <f t="shared" si="8"/>
        <v>0</v>
      </c>
      <c r="H41" s="53">
        <v>0</v>
      </c>
      <c r="I41" s="53">
        <v>0</v>
      </c>
      <c r="J41" s="53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94</v>
      </c>
      <c r="B42" s="51">
        <v>0</v>
      </c>
      <c r="C42" s="51">
        <v>0</v>
      </c>
      <c r="D42" s="51">
        <f>'[1]AI MENSUAL'!$F$60+'[1]AI MENSUAL'!$G$60+'[1]AI MENSUAL'!$H$60+'[1]AI MENSUAL'!$I$60+'[1]AI MENSUAL'!$J$60+'[1]AI MENSUAL'!$K$60+'[1]AI MENSUAL'!$L$60+'[1]AI MENSUAL'!$M$60+'[1]AI MENSUAL'!$N$60+'[1]AI MENSUAL'!$O$60</f>
        <v>0.49</v>
      </c>
      <c r="E42" s="51">
        <v>0</v>
      </c>
      <c r="F42" s="185">
        <v>0</v>
      </c>
      <c r="G42" s="53">
        <f t="shared" si="8"/>
        <v>0</v>
      </c>
      <c r="H42" s="53">
        <v>0</v>
      </c>
      <c r="I42" s="53">
        <v>0</v>
      </c>
      <c r="J42" s="53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92</v>
      </c>
      <c r="B43" s="51">
        <v>0</v>
      </c>
      <c r="C43" s="51">
        <v>0</v>
      </c>
      <c r="D43" s="51">
        <f>'[1]AI MENSUAL'!$F$72+'[1]AI MENSUAL'!$G$72+'[1]AI MENSUAL'!$H$72+'[1]AI MENSUAL'!$I$72+'[1]AI MENSUAL'!$J$72+'[1]AI MENSUAL'!$K$72+'[1]AI MENSUAL'!$L$72+'[1]AI MENSUAL'!$M$72+'[1]AI MENSUAL'!$N$72+'[1]AI MENSUAL'!$O$72</f>
        <v>0.02</v>
      </c>
      <c r="E43" s="51">
        <v>0</v>
      </c>
      <c r="F43" s="185">
        <v>0</v>
      </c>
      <c r="G43" s="53">
        <f t="shared" si="8"/>
        <v>0</v>
      </c>
      <c r="H43" s="53">
        <v>0</v>
      </c>
      <c r="I43" s="53">
        <v>0</v>
      </c>
      <c r="J43" s="53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93</v>
      </c>
      <c r="B44" s="51">
        <v>0</v>
      </c>
      <c r="C44" s="51">
        <v>0</v>
      </c>
      <c r="D44" s="51">
        <f>'[1]AI MENSUAL'!$F$69+'[1]AI MENSUAL'!$G$69+'[1]AI MENSUAL'!$H$69+'[1]AI MENSUAL'!$I$69+'[1]AI MENSUAL'!$J$69+'[1]AI MENSUAL'!$K$69+'[1]AI MENSUAL'!$L$69+'[1]AI MENSUAL'!$M$69+'[1]AI MENSUAL'!$N$69+'[1]AI MENSUAL'!$O$69</f>
        <v>0.76</v>
      </c>
      <c r="E44" s="51">
        <v>0</v>
      </c>
      <c r="F44" s="185">
        <v>0</v>
      </c>
      <c r="G44" s="53">
        <f t="shared" si="8"/>
        <v>0</v>
      </c>
      <c r="H44" s="53">
        <v>0</v>
      </c>
      <c r="I44" s="53">
        <v>0</v>
      </c>
      <c r="J44" s="53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95</v>
      </c>
      <c r="B45" s="51">
        <v>0</v>
      </c>
      <c r="C45" s="51">
        <v>0</v>
      </c>
      <c r="D45" s="51">
        <f>'[1]AI MENSUAL'!$F$97+'[1]AI MENSUAL'!$G$97+'[1]AI MENSUAL'!$H$97+'[1]AI MENSUAL'!$I$97+'[1]AI MENSUAL'!$J$97+'[1]AI MENSUAL'!$K$97+'[1]AI MENSUAL'!$L$97+'[1]AI MENSUAL'!$M$97+'[1]AI MENSUAL'!$N$97+'[1]AI MENSUAL'!$O$97</f>
        <v>0.58000000000000007</v>
      </c>
      <c r="E45" s="51">
        <v>0</v>
      </c>
      <c r="F45" s="185">
        <v>0</v>
      </c>
      <c r="G45" s="53">
        <f t="shared" si="8"/>
        <v>0</v>
      </c>
      <c r="H45" s="53">
        <v>0</v>
      </c>
      <c r="I45" s="53">
        <v>0</v>
      </c>
      <c r="J45" s="53">
        <v>0</v>
      </c>
      <c r="K45" s="16">
        <f t="shared" si="9"/>
        <v>0</v>
      </c>
      <c r="L45" s="15">
        <v>0</v>
      </c>
    </row>
    <row r="46" spans="1:12" ht="15.75" customHeight="1" x14ac:dyDescent="0.25">
      <c r="A46" s="17" t="s">
        <v>27</v>
      </c>
      <c r="B46" s="51">
        <v>0</v>
      </c>
      <c r="C46" s="51">
        <v>0</v>
      </c>
      <c r="D46" s="51">
        <f>'[1]AI MENSUAL'!$F$91+'[1]AI MENSUAL'!$G$91+'[1]AI MENSUAL'!$H$91+'[1]AI MENSUAL'!$I$91+'[1]AI MENSUAL'!$J$91+'[1]AI MENSUAL'!$K$91+'[1]AI MENSUAL'!$L$91+'[1]AI MENSUAL'!$M$91+'[1]AI MENSUAL'!$N$91+'[1]AI MENSUAL'!$O$91</f>
        <v>3.4299999999999997</v>
      </c>
      <c r="E46" s="51">
        <v>0</v>
      </c>
      <c r="F46" s="185">
        <v>0</v>
      </c>
      <c r="G46" s="53">
        <f t="shared" si="8"/>
        <v>0</v>
      </c>
      <c r="H46" s="53">
        <v>0</v>
      </c>
      <c r="I46" s="53">
        <v>0</v>
      </c>
      <c r="J46" s="53">
        <v>0</v>
      </c>
      <c r="K46" s="16">
        <f>+H46+I46-J46</f>
        <v>0</v>
      </c>
      <c r="L46" s="15">
        <v>0</v>
      </c>
    </row>
    <row r="47" spans="1:12" ht="15.75" customHeight="1" x14ac:dyDescent="0.25">
      <c r="A47" s="17" t="s">
        <v>115</v>
      </c>
      <c r="B47" s="51">
        <v>0</v>
      </c>
      <c r="C47" s="51">
        <v>0</v>
      </c>
      <c r="D47" s="51">
        <v>0</v>
      </c>
      <c r="E47" s="51">
        <v>0</v>
      </c>
      <c r="F47" s="185">
        <v>0</v>
      </c>
      <c r="G47" s="53">
        <f t="shared" si="8"/>
        <v>0</v>
      </c>
      <c r="H47" s="53">
        <v>0</v>
      </c>
      <c r="I47" s="53">
        <v>0</v>
      </c>
      <c r="J47" s="53">
        <v>0</v>
      </c>
      <c r="K47" s="16">
        <f>+H47+I47-J47</f>
        <v>0</v>
      </c>
      <c r="L47" s="15">
        <v>0</v>
      </c>
    </row>
    <row r="48" spans="1:12" ht="15.75" customHeight="1" x14ac:dyDescent="0.25">
      <c r="A48" s="13" t="s">
        <v>98</v>
      </c>
      <c r="B48" s="52">
        <f>SUM(B49:B53)</f>
        <v>0</v>
      </c>
      <c r="C48" s="52">
        <f>SUM(C49:C53)</f>
        <v>0</v>
      </c>
      <c r="D48" s="52">
        <f>SUM(D49:D53)</f>
        <v>0</v>
      </c>
      <c r="E48" s="52">
        <f>SUM(E49:E53)</f>
        <v>0</v>
      </c>
      <c r="F48" s="184">
        <v>0</v>
      </c>
      <c r="G48" s="54">
        <f t="shared" si="8"/>
        <v>0</v>
      </c>
      <c r="H48" s="52">
        <f>SUM(H49:H53)</f>
        <v>0</v>
      </c>
      <c r="I48" s="52">
        <f t="shared" ref="I48:J48" si="10">SUM(I49:I53)</f>
        <v>0</v>
      </c>
      <c r="J48" s="52">
        <f t="shared" si="10"/>
        <v>0</v>
      </c>
      <c r="K48" s="19">
        <f>SUM(K49:K53)</f>
        <v>0</v>
      </c>
      <c r="L48" s="50">
        <v>0</v>
      </c>
    </row>
    <row r="49" spans="1:12" ht="15.75" customHeight="1" x14ac:dyDescent="0.25">
      <c r="A49" s="17" t="s">
        <v>99</v>
      </c>
      <c r="B49" s="51">
        <v>0</v>
      </c>
      <c r="C49" s="51">
        <v>0</v>
      </c>
      <c r="D49" s="51">
        <v>0</v>
      </c>
      <c r="E49" s="51">
        <v>0</v>
      </c>
      <c r="F49" s="185">
        <v>0</v>
      </c>
      <c r="G49" s="53">
        <f t="shared" si="8"/>
        <v>0</v>
      </c>
      <c r="H49" s="53">
        <v>0</v>
      </c>
      <c r="I49" s="53">
        <v>0</v>
      </c>
      <c r="J49" s="53">
        <v>0</v>
      </c>
      <c r="K49" s="16">
        <f t="shared" ref="K49:K51" si="11">+H49+I49-J49</f>
        <v>0</v>
      </c>
      <c r="L49" s="15">
        <v>0</v>
      </c>
    </row>
    <row r="50" spans="1:12" ht="15.75" customHeight="1" x14ac:dyDescent="0.25">
      <c r="A50" s="17" t="s">
        <v>23</v>
      </c>
      <c r="B50" s="51">
        <v>0</v>
      </c>
      <c r="C50" s="51">
        <v>0</v>
      </c>
      <c r="D50" s="51">
        <v>0</v>
      </c>
      <c r="E50" s="51">
        <v>0</v>
      </c>
      <c r="F50" s="185">
        <v>0</v>
      </c>
      <c r="G50" s="53">
        <f t="shared" si="8"/>
        <v>0</v>
      </c>
      <c r="H50" s="53">
        <v>0</v>
      </c>
      <c r="I50" s="53">
        <v>0</v>
      </c>
      <c r="J50" s="53">
        <v>0</v>
      </c>
      <c r="K50" s="16">
        <f t="shared" si="11"/>
        <v>0</v>
      </c>
      <c r="L50" s="15">
        <v>0</v>
      </c>
    </row>
    <row r="51" spans="1:12" ht="15.75" customHeight="1" x14ac:dyDescent="0.25">
      <c r="A51" s="17" t="s">
        <v>25</v>
      </c>
      <c r="B51" s="51">
        <v>0</v>
      </c>
      <c r="C51" s="51">
        <v>0</v>
      </c>
      <c r="D51" s="51">
        <v>0</v>
      </c>
      <c r="E51" s="51">
        <v>0</v>
      </c>
      <c r="F51" s="185">
        <v>0</v>
      </c>
      <c r="G51" s="53">
        <f t="shared" si="8"/>
        <v>0</v>
      </c>
      <c r="H51" s="53">
        <v>0</v>
      </c>
      <c r="I51" s="53">
        <v>0</v>
      </c>
      <c r="J51" s="53">
        <v>0</v>
      </c>
      <c r="K51" s="16">
        <f t="shared" si="11"/>
        <v>0</v>
      </c>
      <c r="L51" s="15">
        <v>0</v>
      </c>
    </row>
    <row r="52" spans="1:12" ht="15.75" customHeight="1" x14ac:dyDescent="0.25">
      <c r="A52" s="17" t="s">
        <v>90</v>
      </c>
      <c r="B52" s="51">
        <v>0</v>
      </c>
      <c r="C52" s="51">
        <v>0</v>
      </c>
      <c r="D52" s="51">
        <v>0</v>
      </c>
      <c r="E52" s="51">
        <v>0</v>
      </c>
      <c r="F52" s="185">
        <v>0</v>
      </c>
      <c r="G52" s="53">
        <f>C52-E52</f>
        <v>0</v>
      </c>
      <c r="H52" s="53">
        <v>0</v>
      </c>
      <c r="I52" s="53">
        <v>0</v>
      </c>
      <c r="J52" s="53">
        <v>0</v>
      </c>
      <c r="K52" s="16">
        <f>+H52+I52-J52</f>
        <v>0</v>
      </c>
      <c r="L52" s="15">
        <v>0</v>
      </c>
    </row>
    <row r="53" spans="1:12" ht="15.75" customHeight="1" x14ac:dyDescent="0.25">
      <c r="A53" s="17" t="s">
        <v>102</v>
      </c>
      <c r="B53" s="51">
        <v>0</v>
      </c>
      <c r="C53" s="51">
        <v>0</v>
      </c>
      <c r="D53" s="51">
        <v>0</v>
      </c>
      <c r="E53" s="51">
        <v>0</v>
      </c>
      <c r="F53" s="185">
        <v>0</v>
      </c>
      <c r="G53" s="53">
        <f>C53-E53</f>
        <v>0</v>
      </c>
      <c r="H53" s="53">
        <v>0</v>
      </c>
      <c r="I53" s="53">
        <v>0</v>
      </c>
      <c r="J53" s="53">
        <v>0</v>
      </c>
      <c r="K53" s="16">
        <f>+H53+I53-J53</f>
        <v>0</v>
      </c>
      <c r="L53" s="15">
        <v>0</v>
      </c>
    </row>
    <row r="54" spans="1:12" ht="15.75" customHeight="1" x14ac:dyDescent="0.25">
      <c r="A54" s="13" t="s">
        <v>100</v>
      </c>
      <c r="B54" s="52">
        <f>SUM(B55:B56)</f>
        <v>0</v>
      </c>
      <c r="C54" s="52">
        <f>SUM(C55:C56)</f>
        <v>0</v>
      </c>
      <c r="D54" s="52">
        <f>SUM(D55:D56)</f>
        <v>0</v>
      </c>
      <c r="E54" s="52">
        <f>SUM(E55:E56)</f>
        <v>0</v>
      </c>
      <c r="F54" s="184">
        <v>0</v>
      </c>
      <c r="G54" s="54">
        <f t="shared" si="8"/>
        <v>0</v>
      </c>
      <c r="H54" s="52">
        <f>SUM(H55:H56)</f>
        <v>0</v>
      </c>
      <c r="I54" s="52">
        <f t="shared" ref="I54:K54" si="12">SUM(I55:I56)</f>
        <v>0</v>
      </c>
      <c r="J54" s="52">
        <f t="shared" si="12"/>
        <v>0</v>
      </c>
      <c r="K54" s="19">
        <f t="shared" si="12"/>
        <v>0</v>
      </c>
      <c r="L54" s="50">
        <v>0</v>
      </c>
    </row>
    <row r="55" spans="1:12" ht="15.75" customHeight="1" x14ac:dyDescent="0.25">
      <c r="A55" s="17" t="s">
        <v>99</v>
      </c>
      <c r="B55" s="51">
        <v>0</v>
      </c>
      <c r="C55" s="51">
        <v>0</v>
      </c>
      <c r="D55" s="51">
        <v>0</v>
      </c>
      <c r="E55" s="51">
        <v>0</v>
      </c>
      <c r="F55" s="185">
        <v>0</v>
      </c>
      <c r="G55" s="53">
        <f t="shared" si="8"/>
        <v>0</v>
      </c>
      <c r="H55" s="53">
        <v>0</v>
      </c>
      <c r="I55" s="53">
        <v>0</v>
      </c>
      <c r="J55" s="53">
        <v>0</v>
      </c>
      <c r="K55" s="16">
        <f t="shared" ref="K55:K56" si="13">+H55+I55-J55</f>
        <v>0</v>
      </c>
      <c r="L55" s="15">
        <v>0</v>
      </c>
    </row>
    <row r="56" spans="1:12" ht="15.75" customHeight="1" x14ac:dyDescent="0.25">
      <c r="A56" s="17" t="s">
        <v>23</v>
      </c>
      <c r="B56" s="51">
        <v>0</v>
      </c>
      <c r="C56" s="51">
        <v>0</v>
      </c>
      <c r="D56" s="51">
        <v>0</v>
      </c>
      <c r="E56" s="51">
        <v>0</v>
      </c>
      <c r="F56" s="185">
        <v>0</v>
      </c>
      <c r="G56" s="53">
        <f t="shared" si="8"/>
        <v>0</v>
      </c>
      <c r="H56" s="53">
        <v>0</v>
      </c>
      <c r="I56" s="53">
        <v>0</v>
      </c>
      <c r="J56" s="53">
        <v>0</v>
      </c>
      <c r="K56" s="16">
        <f t="shared" si="13"/>
        <v>0</v>
      </c>
      <c r="L56" s="15">
        <v>0</v>
      </c>
    </row>
    <row r="57" spans="1:12" ht="15.75" customHeight="1" x14ac:dyDescent="0.25">
      <c r="A57" s="13" t="s">
        <v>101</v>
      </c>
      <c r="B57" s="52">
        <f>SUM(B58:B60)</f>
        <v>0</v>
      </c>
      <c r="C57" s="52">
        <f>SUM(C58:C60)</f>
        <v>0</v>
      </c>
      <c r="D57" s="52">
        <f>SUM(D58:D60)</f>
        <v>0</v>
      </c>
      <c r="E57" s="52">
        <f t="shared" ref="E57" si="14">SUM(E58:E60)</f>
        <v>0</v>
      </c>
      <c r="F57" s="184">
        <v>0</v>
      </c>
      <c r="G57" s="54">
        <f t="shared" si="8"/>
        <v>0</v>
      </c>
      <c r="H57" s="52">
        <f>SUM(H58:H60)</f>
        <v>3471.94</v>
      </c>
      <c r="I57" s="52">
        <f t="shared" ref="I57:J57" si="15">SUM(I58:I60)</f>
        <v>0</v>
      </c>
      <c r="J57" s="52">
        <f t="shared" si="15"/>
        <v>0</v>
      </c>
      <c r="K57" s="19">
        <f>SUM(K58:K60)</f>
        <v>3471.94</v>
      </c>
      <c r="L57" s="50">
        <v>0</v>
      </c>
    </row>
    <row r="58" spans="1:12" ht="15.75" customHeight="1" x14ac:dyDescent="0.25">
      <c r="A58" s="17" t="s">
        <v>99</v>
      </c>
      <c r="B58" s="51">
        <v>0</v>
      </c>
      <c r="C58" s="51">
        <v>0</v>
      </c>
      <c r="D58" s="51">
        <v>0</v>
      </c>
      <c r="E58" s="51">
        <v>0</v>
      </c>
      <c r="F58" s="185">
        <v>0</v>
      </c>
      <c r="G58" s="53">
        <f t="shared" si="8"/>
        <v>0</v>
      </c>
      <c r="H58" s="53">
        <v>3471.94</v>
      </c>
      <c r="I58" s="53">
        <v>0</v>
      </c>
      <c r="J58" s="53">
        <v>0</v>
      </c>
      <c r="K58" s="16">
        <f>+H58+I58-J58</f>
        <v>3471.94</v>
      </c>
      <c r="L58" s="15">
        <v>0</v>
      </c>
    </row>
    <row r="59" spans="1:12" ht="15.75" customHeight="1" x14ac:dyDescent="0.25">
      <c r="A59" s="17" t="s">
        <v>23</v>
      </c>
      <c r="B59" s="51">
        <v>0</v>
      </c>
      <c r="C59" s="51">
        <v>0</v>
      </c>
      <c r="D59" s="51">
        <v>0</v>
      </c>
      <c r="E59" s="51">
        <v>0</v>
      </c>
      <c r="F59" s="185">
        <v>0</v>
      </c>
      <c r="G59" s="53">
        <f t="shared" si="8"/>
        <v>0</v>
      </c>
      <c r="H59" s="53">
        <v>0</v>
      </c>
      <c r="I59" s="53">
        <v>0</v>
      </c>
      <c r="J59" s="53">
        <v>0</v>
      </c>
      <c r="K59" s="16">
        <f t="shared" ref="K59:K60" si="16">+H59+I59-J59</f>
        <v>0</v>
      </c>
      <c r="L59" s="15">
        <v>0</v>
      </c>
    </row>
    <row r="60" spans="1:12" ht="15.75" customHeight="1" x14ac:dyDescent="0.25">
      <c r="A60" s="17" t="s">
        <v>25</v>
      </c>
      <c r="B60" s="51">
        <v>0</v>
      </c>
      <c r="C60" s="51">
        <v>0</v>
      </c>
      <c r="D60" s="51">
        <v>0</v>
      </c>
      <c r="E60" s="51">
        <v>0</v>
      </c>
      <c r="F60" s="185">
        <v>0</v>
      </c>
      <c r="G60" s="53">
        <f t="shared" si="8"/>
        <v>0</v>
      </c>
      <c r="H60" s="53">
        <v>0</v>
      </c>
      <c r="I60" s="53">
        <v>0</v>
      </c>
      <c r="J60" s="53">
        <v>0</v>
      </c>
      <c r="K60" s="16">
        <f t="shared" si="16"/>
        <v>0</v>
      </c>
      <c r="L60" s="15">
        <v>0</v>
      </c>
    </row>
    <row r="61" spans="1:12" ht="15.75" customHeight="1" x14ac:dyDescent="0.25">
      <c r="A61" s="18" t="s">
        <v>28</v>
      </c>
      <c r="B61" s="52">
        <f>B14+B21+B48+B54+B57</f>
        <v>164742025</v>
      </c>
      <c r="C61" s="52">
        <f>C14+C21+C34+C48+C54+C57</f>
        <v>222066057.96000004</v>
      </c>
      <c r="D61" s="52">
        <f>D14+D21+D34+D48+D54+D57</f>
        <v>9776.01</v>
      </c>
      <c r="E61" s="52">
        <f>E14+E21+E48+E54+E57</f>
        <v>212201650.56999999</v>
      </c>
      <c r="F61" s="184">
        <f>E61/C61</f>
        <v>0.95557895033298201</v>
      </c>
      <c r="G61" s="52">
        <f>G14+G21+G48+G54+G57</f>
        <v>9864407.3900000304</v>
      </c>
      <c r="H61" s="52">
        <f>H14+H21+H34+H48+H54+H57</f>
        <v>16285011.079999996</v>
      </c>
      <c r="I61" s="52">
        <f t="shared" ref="I61" si="17">I14+I21+I48+I54+I57</f>
        <v>0</v>
      </c>
      <c r="J61" s="52">
        <f>J14+J21+J48+J54+J57</f>
        <v>6570696.6399999997</v>
      </c>
      <c r="K61" s="19">
        <f>K14+K21+K48+K54+K57</f>
        <v>9714314.4399999976</v>
      </c>
      <c r="L61" s="15">
        <f>E61/B61</f>
        <v>1.2880845101303082</v>
      </c>
    </row>
    <row r="62" spans="1:12" s="176" customFormat="1" ht="15.75" customHeight="1" x14ac:dyDescent="0.2">
      <c r="B62" s="186"/>
      <c r="C62" s="179">
        <v>222069426.56</v>
      </c>
      <c r="D62" s="179">
        <v>9776.01</v>
      </c>
      <c r="E62" s="179">
        <f>SUM([2]GLOBAL!$G$460:$Q$460)</f>
        <v>212201650.57000002</v>
      </c>
      <c r="F62" s="182"/>
      <c r="G62" s="179">
        <f>C61-E61</f>
        <v>9864407.3900000453</v>
      </c>
      <c r="H62" s="179">
        <v>16285011.08</v>
      </c>
      <c r="I62" s="186">
        <f>H62-H61</f>
        <v>0</v>
      </c>
      <c r="J62" s="179">
        <v>6570696.6399999997</v>
      </c>
      <c r="K62" s="177"/>
    </row>
    <row r="63" spans="1:12" ht="15.75" customHeight="1" x14ac:dyDescent="0.2">
      <c r="C63" s="196" t="s">
        <v>29</v>
      </c>
      <c r="D63" s="196"/>
      <c r="E63" s="196"/>
      <c r="F63" s="196"/>
      <c r="G63" s="196"/>
      <c r="H63" s="196"/>
      <c r="I63" s="196"/>
      <c r="J63" s="80">
        <f>J62-J61</f>
        <v>0</v>
      </c>
    </row>
    <row r="64" spans="1:12" ht="15.75" customHeight="1" x14ac:dyDescent="0.2">
      <c r="C64" s="145"/>
      <c r="D64" s="145"/>
      <c r="E64" s="145"/>
      <c r="F64" s="159"/>
      <c r="G64" s="146"/>
      <c r="H64" s="159"/>
      <c r="I64" s="159"/>
    </row>
    <row r="65" spans="1:17" ht="15.75" customHeight="1" x14ac:dyDescent="0.25">
      <c r="B65" s="197" t="s">
        <v>30</v>
      </c>
      <c r="C65" s="197"/>
      <c r="D65" s="198" t="s">
        <v>31</v>
      </c>
      <c r="E65" s="199"/>
      <c r="F65" s="200"/>
      <c r="G65" s="201" t="s">
        <v>32</v>
      </c>
      <c r="H65" s="201"/>
      <c r="I65" s="160" t="s">
        <v>8</v>
      </c>
      <c r="L65" s="176" t="s">
        <v>114</v>
      </c>
      <c r="M65" s="177">
        <f>C62-C61</f>
        <v>3368.5999999642372</v>
      </c>
      <c r="N65" s="177">
        <f>M65-D34</f>
        <v>2773.6799999642371</v>
      </c>
      <c r="O65" s="177">
        <f>N65-D21</f>
        <v>-3.5763605410465971E-8</v>
      </c>
      <c r="P65" s="176"/>
    </row>
    <row r="66" spans="1:17" ht="15.75" customHeight="1" x14ac:dyDescent="0.25">
      <c r="B66" s="202" t="s">
        <v>33</v>
      </c>
      <c r="C66" s="202"/>
      <c r="D66" s="203"/>
      <c r="E66" s="204"/>
      <c r="F66" s="205"/>
      <c r="G66" s="206"/>
      <c r="H66" s="206"/>
      <c r="I66" s="23"/>
      <c r="L66" s="176"/>
      <c r="M66" s="177">
        <f>E62-E61</f>
        <v>0</v>
      </c>
      <c r="N66" s="178"/>
      <c r="O66" s="178"/>
      <c r="P66" s="176"/>
    </row>
    <row r="67" spans="1:17" ht="15.75" customHeight="1" x14ac:dyDescent="0.25">
      <c r="B67" s="207" t="s">
        <v>34</v>
      </c>
      <c r="C67" s="207"/>
      <c r="D67" s="203">
        <v>113000</v>
      </c>
      <c r="E67" s="204"/>
      <c r="F67" s="205"/>
      <c r="G67" s="206">
        <f>[3]Hoja1!$B$18+[3]Hoja1!$C$18+[3]Hoja1!$D$18+[3]Hoja1!$E$18+[3]Hoja1!$F$18+[3]Hoja1!$G$18+[3]Hoja1!$H$18+[3]Hoja1!$I$18+[3]Hoja1!$J$19+[3]Hoja1!$K$19+[3]Hoja1!$L$19</f>
        <v>346950.68</v>
      </c>
      <c r="H67" s="206"/>
      <c r="I67" s="23">
        <f t="shared" ref="I67:I73" si="18">G67/D67</f>
        <v>3.07036</v>
      </c>
      <c r="L67" s="176"/>
      <c r="M67" s="176"/>
      <c r="N67" s="176"/>
      <c r="O67" s="176"/>
      <c r="P67" s="176"/>
    </row>
    <row r="68" spans="1:17" ht="15.75" customHeight="1" x14ac:dyDescent="0.25">
      <c r="B68" s="207" t="s">
        <v>35</v>
      </c>
      <c r="C68" s="207"/>
      <c r="D68" s="203">
        <v>12834042.720000001</v>
      </c>
      <c r="E68" s="204"/>
      <c r="F68" s="205"/>
      <c r="G68" s="206">
        <f>[3]Hoja1!$B$28+[3]Hoja1!$C$28+[3]Hoja1!$D$29+[3]Hoja1!$E$28+[3]Hoja1!$F$28+[3]Hoja1!$G$28+[3]Hoja1!$H$28+[3]Hoja1!$I$28+[3]Hoja1!$J$29+[3]Hoja1!$K$29+[3]Hoja1!$L$29</f>
        <v>10822386.630000001</v>
      </c>
      <c r="H68" s="206"/>
      <c r="I68" s="23">
        <f t="shared" si="18"/>
        <v>0.84325624170900382</v>
      </c>
      <c r="M68" s="143"/>
      <c r="N68" s="80"/>
      <c r="O68" s="80"/>
      <c r="P68" s="144"/>
      <c r="Q68" s="80"/>
    </row>
    <row r="69" spans="1:17" ht="15.75" customHeight="1" x14ac:dyDescent="0.25">
      <c r="B69" s="207" t="s">
        <v>103</v>
      </c>
      <c r="C69" s="207"/>
      <c r="D69" s="203">
        <v>432670</v>
      </c>
      <c r="E69" s="204"/>
      <c r="F69" s="205"/>
      <c r="G69" s="206">
        <f>[3]Hoja1!$B$39+[3]Hoja1!$C$39+[3]Hoja1!$D$39+[3]Hoja1!$E$39+[3]Hoja1!$E$39+[3]Hoja1!$F$39+[3]Hoja1!$G$39+[3]Hoja1!$H$39+[3]Hoja1!$I$39+[3]Hoja1!$J$40+[3]Hoja1!$K$40</f>
        <v>1195554.31</v>
      </c>
      <c r="H69" s="206"/>
      <c r="I69" s="23">
        <f t="shared" si="18"/>
        <v>2.7632013081563316</v>
      </c>
      <c r="M69" s="56"/>
      <c r="N69" s="80"/>
      <c r="O69" s="80"/>
      <c r="P69" s="56"/>
    </row>
    <row r="70" spans="1:17" ht="15.75" customHeight="1" x14ac:dyDescent="0.25">
      <c r="B70" s="207" t="s">
        <v>104</v>
      </c>
      <c r="C70" s="207"/>
      <c r="D70" s="203">
        <v>144000</v>
      </c>
      <c r="E70" s="204"/>
      <c r="F70" s="205"/>
      <c r="G70" s="206">
        <f>[3]Hoja1!$B$49+[3]Hoja1!$C$49+[3]Hoja1!$D$49+[3]Hoja1!$E$49+[3]Hoja1!$E$49+[3]Hoja1!$F$49+[3]Hoja1!$H$49+[3]Hoja1!$I$49+[3]Hoja1!$J$50+[3]Hoja1!$K$50+[3]Hoja1!$L$50</f>
        <v>115294.01</v>
      </c>
      <c r="H70" s="206"/>
      <c r="I70" s="23">
        <f t="shared" si="18"/>
        <v>0.80065284722222219</v>
      </c>
      <c r="N70" s="80"/>
    </row>
    <row r="71" spans="1:17" ht="15.75" customHeight="1" x14ac:dyDescent="0.25">
      <c r="B71" s="207" t="s">
        <v>105</v>
      </c>
      <c r="C71" s="207"/>
      <c r="D71" s="203">
        <v>4620000</v>
      </c>
      <c r="E71" s="204"/>
      <c r="F71" s="205"/>
      <c r="G71" s="206">
        <f>[3]Hoja1!$B$59+[3]Hoja1!$C$60+[3]Hoja1!$D$59+[3]Hoja1!$E$59+[3]Hoja1!$F$59+[3]Hoja1!$G$59+[3]Hoja1!$H$59+[3]Hoja1!$I$59+[3]Hoja1!$J$60+[3]Hoja1!$K$60+[3]Hoja1!$L$60</f>
        <v>3080</v>
      </c>
      <c r="H71" s="206"/>
      <c r="I71" s="23">
        <f t="shared" si="18"/>
        <v>6.6666666666666664E-4</v>
      </c>
      <c r="M71" s="80">
        <f>E62-E61</f>
        <v>0</v>
      </c>
    </row>
    <row r="72" spans="1:17" ht="15.75" customHeight="1" x14ac:dyDescent="0.25">
      <c r="B72" s="207" t="s">
        <v>106</v>
      </c>
      <c r="C72" s="207"/>
      <c r="D72" s="203">
        <v>1202890.56</v>
      </c>
      <c r="E72" s="204"/>
      <c r="F72" s="205"/>
      <c r="G72" s="206">
        <f>[3]Hoja1!$B$69+[3]Hoja1!$C$69+[3]Hoja1!$D$70+[3]Hoja1!$E$69+[3]Hoja1!$F$69+[3]Hoja1!$G$49+[3]Hoja1!$G$69+[3]Hoja1!$H$69+[3]Hoja1!$I$69+[3]Hoja1!$J$70+[3]Hoja1!$K$70+[3]Hoja1!$L$70</f>
        <v>254115.21000000002</v>
      </c>
      <c r="H72" s="206"/>
      <c r="I72" s="23">
        <f t="shared" si="18"/>
        <v>0.21125380683010764</v>
      </c>
    </row>
    <row r="73" spans="1:17" ht="15.75" customHeight="1" x14ac:dyDescent="0.25">
      <c r="B73" s="207"/>
      <c r="C73" s="207"/>
      <c r="D73" s="203">
        <f>SUM(D67:F72)</f>
        <v>19346603.279999997</v>
      </c>
      <c r="E73" s="204"/>
      <c r="F73" s="205"/>
      <c r="G73" s="206">
        <f>SUM(G67:H72)</f>
        <v>12737380.840000002</v>
      </c>
      <c r="H73" s="206"/>
      <c r="I73" s="23">
        <f t="shared" si="18"/>
        <v>0.65837814812523532</v>
      </c>
    </row>
    <row r="74" spans="1:17" ht="15.75" customHeight="1" x14ac:dyDescent="0.25">
      <c r="B74" s="24"/>
      <c r="C74" s="24"/>
      <c r="D74" s="24"/>
      <c r="E74" s="24"/>
      <c r="F74" s="24"/>
      <c r="G74" s="61"/>
      <c r="H74" s="25"/>
      <c r="I74" s="26"/>
    </row>
    <row r="75" spans="1:17" ht="15.75" customHeight="1" x14ac:dyDescent="0.2"/>
    <row r="76" spans="1:17" s="27" customFormat="1" ht="15.75" customHeight="1" x14ac:dyDescent="0.3">
      <c r="B76" s="208" t="s">
        <v>36</v>
      </c>
      <c r="C76" s="208"/>
      <c r="D76" s="161"/>
      <c r="G76" s="209" t="s">
        <v>37</v>
      </c>
      <c r="H76" s="209"/>
      <c r="J76" s="209" t="s">
        <v>38</v>
      </c>
      <c r="K76" s="209"/>
    </row>
    <row r="77" spans="1:17" s="27" customFormat="1" ht="15.75" customHeight="1" x14ac:dyDescent="0.3">
      <c r="B77" s="161"/>
      <c r="C77" s="161"/>
      <c r="D77" s="161"/>
      <c r="G77" s="62"/>
      <c r="H77" s="162"/>
      <c r="J77" s="162"/>
      <c r="K77" s="162"/>
    </row>
    <row r="78" spans="1:17" s="27" customFormat="1" ht="15.75" customHeight="1" x14ac:dyDescent="0.3">
      <c r="B78" s="221" t="s">
        <v>118</v>
      </c>
      <c r="C78" s="221"/>
      <c r="D78" s="164"/>
      <c r="E78" s="32"/>
      <c r="F78" s="213" t="s">
        <v>119</v>
      </c>
      <c r="G78" s="213"/>
      <c r="H78" s="213"/>
      <c r="I78" s="33"/>
      <c r="J78" s="213" t="s">
        <v>121</v>
      </c>
      <c r="K78" s="213"/>
    </row>
    <row r="79" spans="1:17" s="27" customFormat="1" ht="15.75" customHeight="1" x14ac:dyDescent="0.3">
      <c r="A79" s="30"/>
      <c r="B79" s="212" t="s">
        <v>89</v>
      </c>
      <c r="C79" s="212"/>
      <c r="D79" s="164"/>
      <c r="E79" s="32"/>
      <c r="F79" s="213" t="s">
        <v>120</v>
      </c>
      <c r="G79" s="213"/>
      <c r="H79" s="213"/>
      <c r="I79" s="33"/>
      <c r="J79" s="213" t="s">
        <v>122</v>
      </c>
      <c r="K79" s="213"/>
    </row>
    <row r="80" spans="1:17" s="27" customFormat="1" ht="15.75" customHeight="1" x14ac:dyDescent="0.3">
      <c r="A80" s="30"/>
      <c r="B80" s="214"/>
      <c r="C80" s="214"/>
      <c r="D80" s="165"/>
      <c r="G80" s="214"/>
      <c r="H80" s="214"/>
      <c r="J80" s="214"/>
      <c r="K80" s="214"/>
    </row>
    <row r="81" spans="1:12" ht="15.75" customHeight="1" x14ac:dyDescent="0.2">
      <c r="A81" s="8"/>
      <c r="B81" s="32"/>
      <c r="C81" s="32"/>
      <c r="D81" s="32"/>
      <c r="G81" s="63"/>
      <c r="H81" s="32"/>
      <c r="J81" s="32"/>
      <c r="K81" s="32"/>
    </row>
    <row r="82" spans="1:12" ht="15.75" customHeight="1" x14ac:dyDescent="0.2"/>
    <row r="83" spans="1:12" ht="15.75" customHeight="1" x14ac:dyDescent="0.2">
      <c r="A83" s="35" t="s">
        <v>39</v>
      </c>
    </row>
    <row r="84" spans="1:12" x14ac:dyDescent="0.2">
      <c r="A84" s="35"/>
    </row>
    <row r="85" spans="1:12" x14ac:dyDescent="0.2">
      <c r="A85" s="35"/>
    </row>
    <row r="86" spans="1:12" ht="15.75" customHeight="1" x14ac:dyDescent="0.2">
      <c r="A86" s="35"/>
    </row>
    <row r="87" spans="1:12" ht="15.75" customHeight="1" x14ac:dyDescent="0.25">
      <c r="A87" s="219" t="s">
        <v>0</v>
      </c>
      <c r="B87" s="219"/>
      <c r="C87" s="219"/>
      <c r="D87" s="219"/>
      <c r="E87" s="219"/>
      <c r="F87" s="219"/>
      <c r="G87" s="219"/>
      <c r="H87" s="219"/>
      <c r="I87" s="219"/>
      <c r="J87" s="219"/>
      <c r="K87" s="219"/>
      <c r="L87" s="219"/>
    </row>
    <row r="88" spans="1:12" ht="15.75" customHeight="1" x14ac:dyDescent="0.2">
      <c r="B88" s="9"/>
      <c r="C88" s="9"/>
      <c r="D88" s="9"/>
      <c r="E88" s="9"/>
      <c r="F88" s="9"/>
      <c r="G88" s="59"/>
      <c r="H88" s="9"/>
    </row>
    <row r="89" spans="1:12" s="36" customFormat="1" ht="15.75" customHeight="1" x14ac:dyDescent="0.25">
      <c r="A89" s="189" t="s">
        <v>40</v>
      </c>
      <c r="B89" s="189"/>
      <c r="C89" s="189"/>
      <c r="D89" s="156"/>
      <c r="E89" s="189" t="s">
        <v>41</v>
      </c>
      <c r="F89" s="189"/>
      <c r="G89" s="189"/>
      <c r="H89" s="189"/>
      <c r="I89" s="189"/>
      <c r="J89" s="189"/>
      <c r="K89" s="189"/>
      <c r="L89" s="189"/>
    </row>
    <row r="90" spans="1:12" ht="15.75" customHeight="1" x14ac:dyDescent="0.2">
      <c r="A90" s="32"/>
      <c r="B90" s="32"/>
      <c r="C90" s="37"/>
      <c r="D90" s="37"/>
      <c r="F90" s="32"/>
      <c r="G90" s="63"/>
      <c r="H90" s="32"/>
    </row>
    <row r="91" spans="1:12" ht="15.75" customHeight="1" x14ac:dyDescent="0.2">
      <c r="A91" s="38" t="s">
        <v>42</v>
      </c>
      <c r="B91" s="39"/>
      <c r="C91" s="39"/>
      <c r="D91" s="39"/>
      <c r="E91" s="211" t="s">
        <v>43</v>
      </c>
      <c r="F91" s="211"/>
      <c r="G91" s="211"/>
      <c r="H91" s="211"/>
      <c r="I91" s="211"/>
      <c r="J91" s="40"/>
      <c r="K91" s="40"/>
      <c r="L91" s="40"/>
    </row>
    <row r="92" spans="1:12" ht="5.0999999999999996" customHeight="1" x14ac:dyDescent="0.2">
      <c r="A92" s="163"/>
      <c r="B92" s="163"/>
      <c r="C92" s="163"/>
      <c r="D92" s="163"/>
      <c r="E92" s="163"/>
      <c r="F92" s="42"/>
      <c r="G92" s="64"/>
      <c r="H92" s="40"/>
      <c r="I92" s="40"/>
      <c r="J92" s="40"/>
      <c r="K92" s="40"/>
      <c r="L92" s="40"/>
    </row>
    <row r="93" spans="1:12" ht="15.75" customHeight="1" x14ac:dyDescent="0.2">
      <c r="A93" s="210" t="s">
        <v>44</v>
      </c>
      <c r="B93" s="210"/>
      <c r="C93" s="39"/>
      <c r="D93" s="39"/>
      <c r="E93" s="211" t="s">
        <v>45</v>
      </c>
      <c r="F93" s="211"/>
      <c r="G93" s="211"/>
      <c r="H93" s="211"/>
      <c r="I93" s="211"/>
      <c r="J93" s="40"/>
      <c r="K93" s="40"/>
      <c r="L93" s="40"/>
    </row>
    <row r="94" spans="1:12" ht="5.0999999999999996" customHeight="1" x14ac:dyDescent="0.2">
      <c r="A94" s="43"/>
      <c r="B94" s="43"/>
      <c r="C94" s="40"/>
      <c r="D94" s="40"/>
      <c r="E94" s="40"/>
      <c r="F94" s="40"/>
      <c r="G94" s="48"/>
      <c r="H94" s="40"/>
      <c r="I94" s="40"/>
      <c r="J94" s="40"/>
      <c r="K94" s="40"/>
      <c r="L94" s="40"/>
    </row>
    <row r="95" spans="1:12" x14ac:dyDescent="0.2">
      <c r="A95" s="44" t="s">
        <v>46</v>
      </c>
      <c r="B95" s="43"/>
      <c r="C95" s="40"/>
      <c r="D95" s="40"/>
      <c r="E95" s="1" t="s">
        <v>47</v>
      </c>
      <c r="F95" s="40"/>
      <c r="G95" s="48"/>
      <c r="H95" s="40"/>
      <c r="I95" s="40"/>
      <c r="J95" s="40"/>
      <c r="K95" s="40"/>
      <c r="L95" s="40"/>
    </row>
    <row r="96" spans="1:12" ht="5.0999999999999996" customHeight="1" x14ac:dyDescent="0.2">
      <c r="A96" s="43"/>
      <c r="B96" s="43"/>
      <c r="C96" s="40"/>
      <c r="D96" s="40"/>
      <c r="E96" s="40"/>
      <c r="F96" s="40"/>
      <c r="G96" s="48"/>
      <c r="H96" s="40"/>
      <c r="I96" s="40"/>
      <c r="J96" s="40"/>
      <c r="K96" s="40"/>
      <c r="L96" s="40"/>
    </row>
    <row r="97" spans="1:12" ht="15.75" customHeight="1" x14ac:dyDescent="0.2">
      <c r="A97" s="43" t="s">
        <v>48</v>
      </c>
      <c r="B97" s="43"/>
      <c r="C97" s="40"/>
      <c r="D97" s="40"/>
      <c r="E97" s="40" t="s">
        <v>49</v>
      </c>
      <c r="F97" s="40"/>
      <c r="G97" s="48"/>
      <c r="H97" s="40"/>
      <c r="I97" s="40"/>
      <c r="J97" s="40"/>
      <c r="K97" s="40"/>
      <c r="L97" s="40"/>
    </row>
    <row r="98" spans="1:12" ht="5.0999999999999996" customHeight="1" x14ac:dyDescent="0.2">
      <c r="A98" s="43"/>
      <c r="B98" s="43"/>
      <c r="C98" s="40"/>
      <c r="D98" s="40"/>
      <c r="E98" s="40"/>
      <c r="F98" s="40"/>
      <c r="G98" s="48"/>
      <c r="H98" s="40"/>
      <c r="I98" s="40"/>
      <c r="J98" s="40"/>
      <c r="K98" s="40"/>
      <c r="L98" s="40"/>
    </row>
    <row r="99" spans="1:12" ht="33.75" customHeight="1" x14ac:dyDescent="0.2">
      <c r="A99" s="43" t="s">
        <v>50</v>
      </c>
      <c r="B99" s="43"/>
      <c r="C99" s="40"/>
      <c r="D99" s="40"/>
      <c r="E99" s="216" t="s">
        <v>51</v>
      </c>
      <c r="F99" s="216"/>
      <c r="G99" s="216"/>
      <c r="H99" s="216"/>
      <c r="I99" s="216"/>
      <c r="J99" s="216"/>
      <c r="K99" s="216"/>
      <c r="L99" s="216"/>
    </row>
    <row r="100" spans="1:12" ht="5.0999999999999996" customHeight="1" x14ac:dyDescent="0.2">
      <c r="A100" s="43"/>
      <c r="B100" s="43"/>
      <c r="C100" s="40"/>
      <c r="D100" s="40"/>
      <c r="E100" s="45"/>
      <c r="F100" s="40"/>
      <c r="G100" s="48"/>
      <c r="H100" s="40"/>
      <c r="I100" s="40"/>
      <c r="J100" s="40"/>
      <c r="K100" s="40"/>
      <c r="L100" s="40"/>
    </row>
    <row r="101" spans="1:12" ht="30" customHeight="1" x14ac:dyDescent="0.2">
      <c r="A101" s="43" t="s">
        <v>52</v>
      </c>
      <c r="B101" s="43"/>
      <c r="C101" s="40"/>
      <c r="D101" s="40"/>
      <c r="E101" s="217" t="s">
        <v>53</v>
      </c>
      <c r="F101" s="217"/>
      <c r="G101" s="217"/>
      <c r="H101" s="217"/>
      <c r="I101" s="217"/>
      <c r="J101" s="217"/>
      <c r="K101" s="217"/>
      <c r="L101" s="217"/>
    </row>
    <row r="102" spans="1:12" ht="5.0999999999999996" customHeight="1" x14ac:dyDescent="0.2">
      <c r="A102" s="43"/>
      <c r="B102" s="43"/>
      <c r="C102" s="40"/>
      <c r="D102" s="40"/>
      <c r="E102" s="45"/>
      <c r="F102" s="40"/>
      <c r="G102" s="48"/>
      <c r="H102" s="40"/>
      <c r="I102" s="40"/>
      <c r="J102" s="40"/>
      <c r="K102" s="40"/>
      <c r="L102" s="40"/>
    </row>
    <row r="103" spans="1:12" ht="45" customHeight="1" x14ac:dyDescent="0.2">
      <c r="A103" s="46" t="s">
        <v>54</v>
      </c>
      <c r="B103" s="46"/>
      <c r="C103" s="45"/>
      <c r="D103" s="45"/>
      <c r="E103" s="217" t="s">
        <v>55</v>
      </c>
      <c r="F103" s="217"/>
      <c r="G103" s="217"/>
      <c r="H103" s="217"/>
      <c r="I103" s="217"/>
      <c r="J103" s="217"/>
      <c r="K103" s="217"/>
      <c r="L103" s="217"/>
    </row>
    <row r="104" spans="1:12" ht="5.0999999999999996" customHeight="1" x14ac:dyDescent="0.2">
      <c r="A104" s="43"/>
      <c r="B104" s="43"/>
      <c r="C104" s="40"/>
      <c r="D104" s="40"/>
      <c r="E104" s="40"/>
      <c r="F104" s="40"/>
      <c r="G104" s="48"/>
      <c r="H104" s="40"/>
      <c r="I104" s="40"/>
      <c r="J104" s="40"/>
      <c r="K104" s="40"/>
      <c r="L104" s="40"/>
    </row>
    <row r="105" spans="1:12" ht="49.5" customHeight="1" x14ac:dyDescent="0.2">
      <c r="A105" s="43" t="s">
        <v>56</v>
      </c>
      <c r="B105" s="43"/>
      <c r="C105" s="40"/>
      <c r="D105" s="40"/>
      <c r="E105" s="216" t="s">
        <v>57</v>
      </c>
      <c r="F105" s="216"/>
      <c r="G105" s="216"/>
      <c r="H105" s="216"/>
      <c r="I105" s="216"/>
      <c r="J105" s="216"/>
      <c r="K105" s="216"/>
      <c r="L105" s="216"/>
    </row>
    <row r="106" spans="1:12" ht="5.0999999999999996" customHeight="1" x14ac:dyDescent="0.2">
      <c r="A106" s="43"/>
      <c r="B106" s="43"/>
      <c r="C106" s="40"/>
      <c r="D106" s="40"/>
      <c r="E106" s="40"/>
      <c r="F106" s="40"/>
      <c r="G106" s="48"/>
      <c r="H106" s="40"/>
      <c r="I106" s="40"/>
      <c r="J106" s="40"/>
      <c r="K106" s="40"/>
      <c r="L106" s="40"/>
    </row>
    <row r="107" spans="1:12" ht="49.5" customHeight="1" x14ac:dyDescent="0.2">
      <c r="A107" s="43" t="s">
        <v>58</v>
      </c>
      <c r="B107" s="43"/>
      <c r="C107" s="40"/>
      <c r="D107" s="40"/>
      <c r="E107" s="216" t="s">
        <v>59</v>
      </c>
      <c r="F107" s="216"/>
      <c r="G107" s="216"/>
      <c r="H107" s="216"/>
      <c r="I107" s="216"/>
      <c r="J107" s="216"/>
      <c r="K107" s="216"/>
      <c r="L107" s="216"/>
    </row>
    <row r="108" spans="1:12" ht="5.0999999999999996" customHeight="1" x14ac:dyDescent="0.2">
      <c r="A108" s="42"/>
      <c r="B108" s="42"/>
      <c r="C108" s="40"/>
      <c r="D108" s="40"/>
      <c r="E108" s="40"/>
      <c r="F108" s="40"/>
      <c r="G108" s="48"/>
      <c r="H108" s="40"/>
      <c r="I108" s="40"/>
      <c r="J108" s="40"/>
      <c r="K108" s="40"/>
      <c r="L108" s="40"/>
    </row>
    <row r="109" spans="1:12" ht="30.75" customHeight="1" x14ac:dyDescent="0.2">
      <c r="A109" s="43" t="s">
        <v>60</v>
      </c>
      <c r="B109" s="43"/>
      <c r="C109" s="40"/>
      <c r="D109" s="40"/>
      <c r="E109" s="216" t="s">
        <v>61</v>
      </c>
      <c r="F109" s="218"/>
      <c r="G109" s="218"/>
      <c r="H109" s="218"/>
      <c r="I109" s="218"/>
      <c r="J109" s="218"/>
      <c r="K109" s="218"/>
      <c r="L109" s="218"/>
    </row>
    <row r="110" spans="1:12" ht="5.0999999999999996" customHeight="1" x14ac:dyDescent="0.2">
      <c r="A110" s="43"/>
      <c r="B110" s="43"/>
      <c r="C110" s="40"/>
      <c r="D110" s="40"/>
      <c r="E110" s="40"/>
      <c r="F110" s="40"/>
      <c r="G110" s="48"/>
      <c r="H110" s="40"/>
      <c r="I110" s="40"/>
      <c r="J110" s="40"/>
      <c r="K110" s="40"/>
      <c r="L110" s="40"/>
    </row>
    <row r="111" spans="1:12" ht="15.75" customHeight="1" x14ac:dyDescent="0.2">
      <c r="A111" s="43" t="s">
        <v>62</v>
      </c>
      <c r="B111" s="43"/>
      <c r="C111" s="40"/>
      <c r="D111" s="40"/>
      <c r="E111" s="40" t="s">
        <v>63</v>
      </c>
      <c r="F111" s="40"/>
      <c r="G111" s="48"/>
      <c r="H111" s="40"/>
      <c r="I111" s="40"/>
      <c r="J111" s="40"/>
      <c r="K111" s="40"/>
      <c r="L111" s="40"/>
    </row>
    <row r="112" spans="1:12" ht="5.0999999999999996" customHeight="1" x14ac:dyDescent="0.2">
      <c r="A112" s="43"/>
      <c r="B112" s="43"/>
      <c r="C112" s="40"/>
      <c r="D112" s="40"/>
      <c r="E112" s="40"/>
      <c r="F112" s="40"/>
      <c r="G112" s="48"/>
      <c r="H112" s="40"/>
      <c r="I112" s="40"/>
      <c r="J112" s="40"/>
      <c r="K112" s="40"/>
      <c r="L112" s="40"/>
    </row>
    <row r="113" spans="1:12" x14ac:dyDescent="0.2">
      <c r="A113" s="43" t="s">
        <v>64</v>
      </c>
      <c r="B113" s="43"/>
      <c r="C113" s="40"/>
      <c r="D113" s="40"/>
      <c r="E113" s="40" t="s">
        <v>65</v>
      </c>
      <c r="F113" s="40"/>
      <c r="G113" s="48"/>
      <c r="H113" s="40"/>
      <c r="I113" s="40"/>
      <c r="J113" s="40"/>
      <c r="K113" s="40"/>
      <c r="L113" s="40"/>
    </row>
    <row r="114" spans="1:12" ht="5.0999999999999996" customHeight="1" x14ac:dyDescent="0.2">
      <c r="A114" s="43"/>
      <c r="B114" s="43"/>
      <c r="C114" s="40"/>
      <c r="D114" s="40"/>
      <c r="E114" s="40"/>
      <c r="F114" s="40"/>
      <c r="G114" s="48"/>
      <c r="H114" s="40"/>
      <c r="I114" s="40"/>
      <c r="J114" s="40"/>
      <c r="K114" s="40"/>
      <c r="L114" s="40"/>
    </row>
    <row r="115" spans="1:12" ht="15.75" customHeight="1" x14ac:dyDescent="0.2">
      <c r="A115" s="47" t="s">
        <v>66</v>
      </c>
      <c r="B115" s="43"/>
      <c r="C115" s="40"/>
      <c r="D115" s="40"/>
      <c r="E115" s="48" t="s">
        <v>67</v>
      </c>
      <c r="F115" s="40"/>
      <c r="G115" s="48"/>
      <c r="H115" s="40"/>
      <c r="I115" s="40"/>
      <c r="J115" s="40"/>
      <c r="K115" s="40"/>
      <c r="L115" s="40"/>
    </row>
    <row r="116" spans="1:12" ht="5.0999999999999996" customHeight="1" x14ac:dyDescent="0.2">
      <c r="A116" s="43"/>
      <c r="B116" s="43"/>
      <c r="C116" s="40"/>
      <c r="D116" s="40"/>
      <c r="E116" s="40"/>
      <c r="F116" s="40"/>
      <c r="G116" s="48"/>
      <c r="H116" s="40"/>
      <c r="I116" s="40"/>
      <c r="J116" s="40"/>
      <c r="K116" s="40"/>
      <c r="L116" s="40"/>
    </row>
    <row r="117" spans="1:12" ht="15.75" customHeight="1" x14ac:dyDescent="0.2">
      <c r="A117" s="43" t="s">
        <v>68</v>
      </c>
      <c r="B117" s="43"/>
      <c r="C117" s="40"/>
      <c r="D117" s="40"/>
      <c r="E117" s="40" t="s">
        <v>69</v>
      </c>
      <c r="F117" s="40"/>
      <c r="G117" s="48"/>
      <c r="H117" s="40"/>
      <c r="I117" s="40"/>
      <c r="J117" s="40"/>
      <c r="K117" s="40"/>
      <c r="L117" s="40"/>
    </row>
    <row r="118" spans="1:12" ht="5.0999999999999996" customHeight="1" x14ac:dyDescent="0.2">
      <c r="A118" s="43"/>
      <c r="B118" s="43"/>
      <c r="C118" s="40"/>
      <c r="D118" s="40"/>
      <c r="E118" s="40"/>
      <c r="F118" s="40"/>
      <c r="G118" s="48"/>
      <c r="H118" s="40"/>
      <c r="I118" s="40"/>
      <c r="J118" s="40"/>
      <c r="K118" s="40"/>
      <c r="L118" s="40"/>
    </row>
    <row r="119" spans="1:12" ht="15.75" customHeight="1" x14ac:dyDescent="0.2">
      <c r="A119" s="43" t="s">
        <v>70</v>
      </c>
      <c r="B119" s="43"/>
      <c r="C119" s="40"/>
      <c r="D119" s="40"/>
      <c r="E119" s="40" t="s">
        <v>71</v>
      </c>
      <c r="F119" s="40"/>
      <c r="G119" s="48"/>
      <c r="H119" s="40"/>
      <c r="I119" s="40"/>
      <c r="J119" s="40"/>
      <c r="K119" s="40"/>
      <c r="L119" s="40"/>
    </row>
    <row r="120" spans="1:12" ht="5.0999999999999996" customHeight="1" x14ac:dyDescent="0.2">
      <c r="A120" s="43"/>
      <c r="B120" s="43"/>
      <c r="C120" s="40"/>
      <c r="D120" s="40"/>
      <c r="E120" s="40"/>
      <c r="F120" s="40"/>
      <c r="G120" s="48"/>
      <c r="H120" s="40"/>
      <c r="I120" s="40"/>
      <c r="J120" s="40"/>
      <c r="K120" s="40"/>
      <c r="L120" s="40"/>
    </row>
    <row r="121" spans="1:12" ht="15.75" customHeight="1" x14ac:dyDescent="0.2">
      <c r="A121" s="47" t="s">
        <v>72</v>
      </c>
      <c r="B121" s="43"/>
      <c r="C121" s="40"/>
      <c r="D121" s="40"/>
      <c r="E121" s="48" t="s">
        <v>73</v>
      </c>
      <c r="F121" s="40"/>
      <c r="G121" s="48"/>
      <c r="H121" s="40"/>
      <c r="I121" s="40"/>
      <c r="J121" s="40"/>
      <c r="K121" s="40"/>
      <c r="L121" s="40"/>
    </row>
    <row r="122" spans="1:12" ht="5.0999999999999996" customHeight="1" x14ac:dyDescent="0.2">
      <c r="A122" s="43"/>
      <c r="B122" s="43"/>
      <c r="C122" s="40"/>
      <c r="D122" s="40"/>
      <c r="E122" s="40"/>
      <c r="F122" s="40"/>
      <c r="G122" s="48"/>
      <c r="H122" s="40"/>
      <c r="I122" s="40"/>
      <c r="J122" s="40"/>
      <c r="K122" s="40"/>
      <c r="L122" s="40"/>
    </row>
    <row r="123" spans="1:12" ht="37.5" customHeight="1" x14ac:dyDescent="0.2">
      <c r="A123" s="47" t="s">
        <v>74</v>
      </c>
      <c r="B123" s="43"/>
      <c r="C123" s="40"/>
      <c r="D123" s="40"/>
      <c r="E123" s="216" t="s">
        <v>75</v>
      </c>
      <c r="F123" s="218"/>
      <c r="G123" s="218"/>
      <c r="H123" s="218"/>
      <c r="I123" s="218"/>
      <c r="J123" s="218"/>
      <c r="K123" s="218"/>
      <c r="L123" s="218"/>
    </row>
    <row r="124" spans="1:12" ht="5.0999999999999996" customHeight="1" x14ac:dyDescent="0.2">
      <c r="A124" s="43"/>
      <c r="B124" s="43"/>
      <c r="C124" s="40"/>
      <c r="D124" s="40"/>
      <c r="E124" s="40"/>
      <c r="F124" s="40"/>
      <c r="G124" s="48"/>
      <c r="H124" s="40"/>
      <c r="I124" s="40"/>
      <c r="J124" s="40"/>
      <c r="K124" s="40"/>
      <c r="L124" s="40"/>
    </row>
    <row r="125" spans="1:12" ht="15.75" customHeight="1" x14ac:dyDescent="0.2">
      <c r="A125" s="43" t="s">
        <v>76</v>
      </c>
      <c r="B125" s="43"/>
      <c r="C125" s="40"/>
      <c r="D125" s="40"/>
      <c r="E125" s="40" t="s">
        <v>77</v>
      </c>
      <c r="F125" s="40"/>
      <c r="G125" s="48"/>
      <c r="H125" s="40"/>
      <c r="I125" s="40"/>
      <c r="J125" s="40"/>
      <c r="K125" s="40"/>
      <c r="L125" s="40"/>
    </row>
    <row r="126" spans="1:12" ht="5.0999999999999996" customHeight="1" x14ac:dyDescent="0.2">
      <c r="A126" s="43"/>
      <c r="B126" s="43"/>
      <c r="C126" s="40"/>
      <c r="D126" s="40"/>
      <c r="E126" s="40"/>
      <c r="F126" s="40"/>
      <c r="G126" s="48"/>
      <c r="H126" s="40"/>
      <c r="I126" s="40"/>
      <c r="J126" s="40"/>
      <c r="K126" s="40"/>
      <c r="L126" s="40"/>
    </row>
    <row r="127" spans="1:12" ht="15.75" customHeight="1" x14ac:dyDescent="0.2">
      <c r="A127" s="43" t="s">
        <v>78</v>
      </c>
      <c r="B127" s="43"/>
      <c r="C127" s="40"/>
      <c r="D127" s="40"/>
      <c r="E127" s="40" t="s">
        <v>79</v>
      </c>
      <c r="F127" s="40"/>
      <c r="G127" s="48"/>
      <c r="H127" s="40"/>
      <c r="I127" s="40"/>
      <c r="J127" s="40"/>
      <c r="K127" s="40"/>
      <c r="L127" s="40"/>
    </row>
    <row r="128" spans="1:12" ht="5.0999999999999996" customHeight="1" x14ac:dyDescent="0.2">
      <c r="A128" s="43"/>
      <c r="B128" s="43"/>
      <c r="C128" s="40"/>
      <c r="D128" s="40"/>
      <c r="E128" s="40"/>
      <c r="F128" s="40"/>
      <c r="G128" s="48"/>
      <c r="H128" s="40"/>
      <c r="I128" s="40"/>
      <c r="J128" s="40"/>
      <c r="K128" s="40"/>
      <c r="L128" s="40"/>
    </row>
    <row r="129" spans="1:20" ht="15.75" customHeight="1" x14ac:dyDescent="0.2">
      <c r="A129" s="43" t="s">
        <v>80</v>
      </c>
      <c r="B129" s="43"/>
      <c r="C129" s="40"/>
      <c r="D129" s="40"/>
      <c r="E129" s="40" t="s">
        <v>81</v>
      </c>
      <c r="F129" s="40"/>
      <c r="G129" s="48"/>
      <c r="H129" s="40"/>
      <c r="I129" s="40"/>
      <c r="J129" s="40"/>
      <c r="K129" s="40"/>
      <c r="L129" s="40"/>
    </row>
    <row r="130" spans="1:20" ht="5.0999999999999996" customHeight="1" x14ac:dyDescent="0.2">
      <c r="A130" s="43"/>
      <c r="B130" s="43"/>
      <c r="C130" s="40"/>
      <c r="D130" s="40"/>
      <c r="E130" s="40"/>
      <c r="F130" s="40"/>
      <c r="G130" s="48"/>
      <c r="H130" s="40"/>
      <c r="I130" s="40"/>
      <c r="J130" s="40"/>
      <c r="K130" s="40"/>
      <c r="L130" s="40"/>
    </row>
    <row r="131" spans="1:20" ht="15.75" customHeight="1" x14ac:dyDescent="0.2">
      <c r="A131" s="43"/>
      <c r="B131" s="43"/>
      <c r="C131" s="40"/>
      <c r="D131" s="40"/>
      <c r="E131" s="40" t="s">
        <v>82</v>
      </c>
      <c r="F131" s="40"/>
      <c r="G131" s="48"/>
      <c r="H131" s="40"/>
      <c r="I131" s="40"/>
      <c r="J131" s="40"/>
      <c r="K131" s="40"/>
      <c r="L131" s="40"/>
    </row>
    <row r="132" spans="1:20" ht="5.0999999999999996" customHeight="1" x14ac:dyDescent="0.2">
      <c r="A132" s="43"/>
      <c r="B132" s="43"/>
      <c r="C132" s="40"/>
      <c r="D132" s="40"/>
      <c r="E132" s="40"/>
      <c r="F132" s="40"/>
      <c r="G132" s="48"/>
      <c r="H132" s="40"/>
      <c r="I132" s="40"/>
      <c r="J132" s="40"/>
      <c r="K132" s="40"/>
      <c r="L132" s="40"/>
    </row>
    <row r="133" spans="1:20" ht="15.75" customHeight="1" x14ac:dyDescent="0.2">
      <c r="A133" s="46" t="s">
        <v>14</v>
      </c>
      <c r="B133" s="43"/>
      <c r="C133" s="40"/>
      <c r="D133" s="40"/>
      <c r="E133" s="40" t="s">
        <v>83</v>
      </c>
      <c r="F133" s="40"/>
      <c r="G133" s="48"/>
      <c r="H133" s="40"/>
      <c r="I133" s="40"/>
      <c r="J133" s="40"/>
      <c r="K133" s="40"/>
      <c r="L133" s="40"/>
    </row>
    <row r="134" spans="1:20" x14ac:dyDescent="0.2">
      <c r="A134" s="40"/>
      <c r="B134" s="40"/>
      <c r="C134" s="40"/>
      <c r="D134" s="40"/>
      <c r="E134" s="40"/>
      <c r="F134" s="40"/>
      <c r="G134" s="48"/>
      <c r="H134" s="40"/>
      <c r="I134" s="40"/>
      <c r="J134" s="40"/>
      <c r="K134" s="40"/>
      <c r="L134" s="40"/>
    </row>
    <row r="135" spans="1:20" x14ac:dyDescent="0.2">
      <c r="A135" s="44" t="s">
        <v>36</v>
      </c>
      <c r="B135" s="40"/>
      <c r="C135" s="40"/>
      <c r="D135" s="40"/>
      <c r="E135" s="215" t="s">
        <v>84</v>
      </c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/>
      <c r="B136" s="40"/>
      <c r="C136" s="40"/>
      <c r="D136" s="40"/>
      <c r="E136" s="21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4" t="s">
        <v>85</v>
      </c>
      <c r="B137" s="37"/>
      <c r="C137" s="37"/>
      <c r="D137" s="37"/>
      <c r="E137" s="215" t="s">
        <v>86</v>
      </c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</row>
    <row r="138" spans="1:20" x14ac:dyDescent="0.2">
      <c r="A138" s="49"/>
      <c r="B138" s="37"/>
      <c r="C138" s="37"/>
      <c r="D138" s="37"/>
      <c r="E138" s="49"/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44" t="s">
        <v>38</v>
      </c>
      <c r="B139" s="37"/>
      <c r="C139" s="37"/>
      <c r="D139" s="37"/>
      <c r="E139" s="49" t="s">
        <v>87</v>
      </c>
      <c r="F139" s="49"/>
      <c r="G139" s="65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  <row r="147" spans="1:12" x14ac:dyDescent="0.2">
      <c r="A147" s="37"/>
      <c r="B147" s="37"/>
      <c r="C147" s="37"/>
      <c r="D147" s="37"/>
      <c r="E147" s="37"/>
      <c r="F147" s="37"/>
      <c r="G147" s="66"/>
      <c r="H147" s="37"/>
      <c r="I147" s="37"/>
      <c r="J147" s="37"/>
      <c r="K147" s="37"/>
      <c r="L147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3:I63"/>
    <mergeCell ref="B65:C65"/>
    <mergeCell ref="D65:F65"/>
    <mergeCell ref="G65:H65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B70:C70"/>
    <mergeCell ref="D70:F70"/>
    <mergeCell ref="G70:H70"/>
    <mergeCell ref="J76:K76"/>
    <mergeCell ref="B71:C71"/>
    <mergeCell ref="D71:F71"/>
    <mergeCell ref="G71:H71"/>
    <mergeCell ref="B72:C72"/>
    <mergeCell ref="D72:F72"/>
    <mergeCell ref="G72:H72"/>
    <mergeCell ref="B73:C73"/>
    <mergeCell ref="D73:F73"/>
    <mergeCell ref="G73:H73"/>
    <mergeCell ref="B76:C76"/>
    <mergeCell ref="G76:H76"/>
    <mergeCell ref="B78:C78"/>
    <mergeCell ref="F78:H78"/>
    <mergeCell ref="J78:K78"/>
    <mergeCell ref="B79:C79"/>
    <mergeCell ref="F79:H79"/>
    <mergeCell ref="J79:K79"/>
    <mergeCell ref="E103:L103"/>
    <mergeCell ref="B80:C80"/>
    <mergeCell ref="G80:H80"/>
    <mergeCell ref="J80:K80"/>
    <mergeCell ref="A87:L87"/>
    <mergeCell ref="A89:C89"/>
    <mergeCell ref="E89:L89"/>
    <mergeCell ref="E91:I91"/>
    <mergeCell ref="A93:B93"/>
    <mergeCell ref="E93:I93"/>
    <mergeCell ref="E99:L99"/>
    <mergeCell ref="E101:L101"/>
    <mergeCell ref="E137:T137"/>
    <mergeCell ref="E105:L105"/>
    <mergeCell ref="E107:L107"/>
    <mergeCell ref="E109:L109"/>
    <mergeCell ref="E123:L123"/>
    <mergeCell ref="E135:T135"/>
    <mergeCell ref="E136:T136"/>
  </mergeCells>
  <pageMargins left="0.51" right="0.46" top="0.39370078740157483" bottom="0.43307086614173229" header="0" footer="0"/>
  <pageSetup scale="71" fitToHeight="0" orientation="landscape" r:id="rId1"/>
  <headerFooter alignWithMargins="0">
    <oddFooter>&amp;R</oddFooter>
  </headerFooter>
  <rowBreaks count="2" manualBreakCount="2">
    <brk id="40" max="11" man="1"/>
    <brk id="80" max="11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T148"/>
  <sheetViews>
    <sheetView view="pageBreakPreview" zoomScaleNormal="100" zoomScaleSheetLayoutView="100" workbookViewId="0">
      <pane ySplit="13" topLeftCell="A59" activePane="bottomLeft" state="frozen"/>
      <selection pane="bottomLeft" activeCell="J79" sqref="J79:K79"/>
    </sheetView>
  </sheetViews>
  <sheetFormatPr baseColWidth="10" defaultRowHeight="12.75" x14ac:dyDescent="0.2"/>
  <cols>
    <col min="1" max="1" width="45.140625" style="1" bestFit="1" customWidth="1"/>
    <col min="2" max="2" width="14.7109375" style="1" customWidth="1"/>
    <col min="3" max="4" width="16.42578125" style="1" customWidth="1"/>
    <col min="5" max="5" width="15.85546875" style="1" customWidth="1"/>
    <col min="6" max="6" width="8.28515625" style="1" customWidth="1"/>
    <col min="7" max="7" width="12.7109375" style="12" customWidth="1"/>
    <col min="8" max="8" width="13.7109375" style="1" customWidth="1"/>
    <col min="9" max="9" width="13" style="1" customWidth="1"/>
    <col min="10" max="10" width="17.42578125" style="1" customWidth="1"/>
    <col min="11" max="11" width="14" style="1" customWidth="1"/>
    <col min="12" max="12" width="8.28515625" style="1" customWidth="1"/>
    <col min="13" max="13" width="12.5703125" style="1" bestFit="1" customWidth="1"/>
    <col min="14" max="15" width="12.85546875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66"/>
      <c r="B6" s="166"/>
      <c r="C6" s="166"/>
      <c r="D6" s="166"/>
      <c r="E6" s="166"/>
      <c r="F6" s="166"/>
      <c r="G6" s="7"/>
      <c r="H6" s="166"/>
      <c r="I6" s="166"/>
      <c r="J6" s="166"/>
      <c r="K6" s="166"/>
      <c r="L6" s="166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67"/>
      <c r="B8" s="167"/>
      <c r="C8" s="167"/>
      <c r="D8" s="167"/>
      <c r="E8" s="167"/>
      <c r="F8" s="167"/>
      <c r="G8" s="58"/>
      <c r="H8" s="167"/>
      <c r="I8" s="167"/>
      <c r="J8" s="167"/>
      <c r="K8" s="167"/>
      <c r="L8" s="167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66"/>
      <c r="E9" s="166"/>
      <c r="F9" s="166"/>
      <c r="G9" s="7"/>
      <c r="H9" s="166"/>
      <c r="I9" s="166"/>
      <c r="J9" s="166"/>
      <c r="K9" s="166"/>
      <c r="L9" s="166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68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2">
        <f>SUM(B15:B20)</f>
        <v>85942683</v>
      </c>
      <c r="C14" s="52">
        <f>SUM(C15:C20)</f>
        <v>129180000.11000001</v>
      </c>
      <c r="D14" s="52">
        <f>SUM(D15:D20)</f>
        <v>6445.1399999999985</v>
      </c>
      <c r="E14" s="52">
        <f>SUM(E15:E20)</f>
        <v>132349249.97000001</v>
      </c>
      <c r="F14" s="184">
        <f>E14/C14</f>
        <v>1.0245335954273209</v>
      </c>
      <c r="G14" s="54">
        <f>C14-E14</f>
        <v>-3169249.8599999994</v>
      </c>
      <c r="H14" s="52">
        <f>SUM(H15:H20)</f>
        <v>523279.08</v>
      </c>
      <c r="I14" s="52">
        <f>SUM(I15:I20)</f>
        <v>0</v>
      </c>
      <c r="J14" s="52">
        <f t="shared" ref="J14" si="0">SUM(J15:J20)</f>
        <v>3797767.6199999996</v>
      </c>
      <c r="K14" s="54">
        <f>+H14+I14-J14</f>
        <v>-3274488.5399999996</v>
      </c>
      <c r="L14" s="184">
        <f>E14/B14</f>
        <v>1.5399711220325762</v>
      </c>
    </row>
    <row r="15" spans="1:19" ht="15.75" customHeight="1" x14ac:dyDescent="0.25">
      <c r="A15" s="17" t="s">
        <v>17</v>
      </c>
      <c r="B15" s="51">
        <f>80209+56555615</f>
        <v>56635824</v>
      </c>
      <c r="C15" s="51">
        <f>'[1]AI MENSUAL'!$F$10+'[1]AI MENSUAL'!$G$10+'[1]AI MENSUAL'!$H$10+'[1]AI MENSUAL'!$I$10+'[1]AI MENSUAL'!$J$10+'[1]AI MENSUAL'!$K$10+'[1]AI MENSUAL'!$L$10+'[1]AI MENSUAL'!$M$10+'[1]AI MENSUAL'!$N$10+'[1]AI MENSUAL'!$O$10+'[6]AI MENSUAL'!$AC$10+'[7]AI MENSUAL'!$Q$10</f>
        <v>114557795.00000001</v>
      </c>
      <c r="D15" s="51">
        <v>0</v>
      </c>
      <c r="E15" s="51">
        <f>SUM([2]REPO!$G$210:$Q$210)+[8]REPO!$R$210</f>
        <v>132349249.97000001</v>
      </c>
      <c r="F15" s="185">
        <f>E15/C15</f>
        <v>1.1553054942267351</v>
      </c>
      <c r="G15" s="53">
        <f>C15-E15</f>
        <v>-17791454.969999999</v>
      </c>
      <c r="H15" s="53">
        <v>523279.08</v>
      </c>
      <c r="I15" s="53">
        <v>0</v>
      </c>
      <c r="J15" s="53">
        <v>3797767.6199999996</v>
      </c>
      <c r="K15" s="53">
        <f>+H15+I15-J15</f>
        <v>-3274488.5399999996</v>
      </c>
      <c r="L15" s="185">
        <f t="shared" ref="L15:L29" si="1">E15/B15</f>
        <v>2.3368469040019622</v>
      </c>
    </row>
    <row r="16" spans="1:19" ht="15.75" customHeight="1" x14ac:dyDescent="0.25">
      <c r="A16" s="17" t="s">
        <v>18</v>
      </c>
      <c r="B16" s="51">
        <f>24254432</f>
        <v>24254432</v>
      </c>
      <c r="C16" s="51">
        <f>'[1]AI MENSUAL'!$F$30+'[1]AI MENSUAL'!$G$30+'[1]AI MENSUAL'!$H$30+'[1]AI MENSUAL'!$I$30+'[1]AI MENSUAL'!$J$30+'[1]AI MENSUAL'!$K$30+'[1]AI MENSUAL'!$L$30+'[1]AI MENSUAL'!$M$30+'[1]AI MENSUAL'!$N$30+'[1]AI MENSUAL'!$O$30+'[6]AI MENSUAL'!$P$30+'[7]AI MENSUAL'!$Q$30</f>
        <v>9666889.370000001</v>
      </c>
      <c r="D16" s="51">
        <v>0</v>
      </c>
      <c r="E16" s="51">
        <v>0</v>
      </c>
      <c r="F16" s="185">
        <f t="shared" ref="F16:F18" si="2">E16/C16</f>
        <v>0</v>
      </c>
      <c r="G16" s="53">
        <f>C16-E16</f>
        <v>9666889.370000001</v>
      </c>
      <c r="H16" s="53">
        <v>0</v>
      </c>
      <c r="I16" s="53">
        <v>0</v>
      </c>
      <c r="J16" s="53">
        <v>0</v>
      </c>
      <c r="K16" s="53">
        <f t="shared" ref="K16:K20" si="3">+H16+I16-J16</f>
        <v>0</v>
      </c>
      <c r="L16" s="185">
        <f t="shared" si="1"/>
        <v>0</v>
      </c>
    </row>
    <row r="17" spans="1:15" ht="15.75" customHeight="1" x14ac:dyDescent="0.25">
      <c r="A17" s="17" t="s">
        <v>19</v>
      </c>
      <c r="B17" s="51">
        <v>3924676</v>
      </c>
      <c r="C17" s="51">
        <f>'[1]AI MENSUAL'!$F$39+'[1]AI MENSUAL'!$G$39+'[1]AI MENSUAL'!$H$39+'[1]AI MENSUAL'!$I$39+'[1]AI MENSUAL'!$J$39+'[1]AI MENSUAL'!$K$39+'[1]AI MENSUAL'!$L$39+'[1]AI MENSUAL'!$M$39+'[1]AI MENSUAL'!$N$39+'[1]AI MENSUAL'!$O$39+'[6]AI MENSUAL'!$P$39+'[7]AI MENSUAL'!$Q$39</f>
        <v>4948870.5999999996</v>
      </c>
      <c r="D17" s="51">
        <v>0</v>
      </c>
      <c r="E17" s="51">
        <v>0</v>
      </c>
      <c r="F17" s="185">
        <f t="shared" si="2"/>
        <v>0</v>
      </c>
      <c r="G17" s="53">
        <f>C17-E17</f>
        <v>4948870.5999999996</v>
      </c>
      <c r="H17" s="53">
        <v>0</v>
      </c>
      <c r="I17" s="53">
        <v>0</v>
      </c>
      <c r="J17" s="53">
        <v>0</v>
      </c>
      <c r="K17" s="53">
        <f t="shared" si="3"/>
        <v>0</v>
      </c>
      <c r="L17" s="185">
        <f t="shared" si="1"/>
        <v>0</v>
      </c>
    </row>
    <row r="18" spans="1:15" ht="15.75" customHeight="1" x14ac:dyDescent="0.25">
      <c r="A18" s="17" t="s">
        <v>20</v>
      </c>
      <c r="B18" s="51">
        <v>1127751</v>
      </c>
      <c r="C18" s="51">
        <f>'[1]AI MENSUAL'!$F$35+'[1]AI MENSUAL'!$G$35+'[1]AI MENSUAL'!$H$35+'[1]AI MENSUAL'!$I$35+'[1]AI MENSUAL'!$J$35+'[1]AI MENSUAL'!$K$35+'[1]AI MENSUAL'!$L$35+'[1]AI MENSUAL'!$M$35+'[1]AI MENSUAL'!$N$35+'[1]AI MENSUAL'!$O$35+'[6]AI MENSUAL'!$P$35+'[7]AI MENSUAL'!$Q$35</f>
        <v>6445.1399999999985</v>
      </c>
      <c r="D18" s="51">
        <f>'[1]AI MENSUAL'!$F$35+'[1]AI MENSUAL'!$G$35+'[1]AI MENSUAL'!$H$35+'[1]AI MENSUAL'!$I$35+'[1]AI MENSUAL'!$J$35+'[1]AI MENSUAL'!$K$35+'[1]AI MENSUAL'!$L$35+'[1]AI MENSUAL'!$M$35+'[1]AI MENSUAL'!$N$35+'[1]AI MENSUAL'!$O$35+'[6]AI MENSUAL'!$P$35+'[7]AI MENSUAL'!$Q$35</f>
        <v>6445.1399999999985</v>
      </c>
      <c r="E18" s="51">
        <v>0</v>
      </c>
      <c r="F18" s="185">
        <f t="shared" si="2"/>
        <v>0</v>
      </c>
      <c r="G18" s="53">
        <f>C18-E18</f>
        <v>6445.1399999999985</v>
      </c>
      <c r="H18" s="53">
        <v>0</v>
      </c>
      <c r="I18" s="53">
        <v>0</v>
      </c>
      <c r="J18" s="53">
        <v>0</v>
      </c>
      <c r="K18" s="53">
        <f t="shared" si="3"/>
        <v>0</v>
      </c>
      <c r="L18" s="185">
        <f t="shared" si="1"/>
        <v>0</v>
      </c>
    </row>
    <row r="19" spans="1:15" ht="15.75" customHeight="1" x14ac:dyDescent="0.25">
      <c r="A19" s="17" t="s">
        <v>21</v>
      </c>
      <c r="B19" s="51">
        <v>0</v>
      </c>
      <c r="C19" s="51">
        <v>0</v>
      </c>
      <c r="D19" s="51">
        <v>0</v>
      </c>
      <c r="E19" s="51">
        <v>0</v>
      </c>
      <c r="F19" s="185">
        <v>0</v>
      </c>
      <c r="G19" s="53">
        <f t="shared" ref="G19:G20" si="4">C19-E19</f>
        <v>0</v>
      </c>
      <c r="H19" s="53">
        <v>0</v>
      </c>
      <c r="I19" s="53">
        <v>0</v>
      </c>
      <c r="J19" s="53">
        <v>0</v>
      </c>
      <c r="K19" s="53">
        <f t="shared" si="3"/>
        <v>0</v>
      </c>
      <c r="L19" s="185">
        <v>0</v>
      </c>
    </row>
    <row r="20" spans="1:15" ht="15.75" customHeight="1" x14ac:dyDescent="0.25">
      <c r="A20" s="17" t="s">
        <v>22</v>
      </c>
      <c r="B20" s="51">
        <v>0</v>
      </c>
      <c r="C20" s="51">
        <v>0</v>
      </c>
      <c r="D20" s="51">
        <v>0</v>
      </c>
      <c r="E20" s="51">
        <v>0</v>
      </c>
      <c r="F20" s="185">
        <v>0</v>
      </c>
      <c r="G20" s="53">
        <f t="shared" si="4"/>
        <v>0</v>
      </c>
      <c r="H20" s="53">
        <v>0</v>
      </c>
      <c r="I20" s="53">
        <v>0</v>
      </c>
      <c r="J20" s="53">
        <v>0</v>
      </c>
      <c r="K20" s="53">
        <f t="shared" si="3"/>
        <v>0</v>
      </c>
      <c r="L20" s="185">
        <v>0</v>
      </c>
      <c r="M20" s="182"/>
      <c r="N20" s="182"/>
      <c r="O20" s="182"/>
    </row>
    <row r="21" spans="1:15" ht="15.75" customHeight="1" x14ac:dyDescent="0.25">
      <c r="A21" s="13" t="s">
        <v>113</v>
      </c>
      <c r="B21" s="52">
        <f>SUM(B22:B32)</f>
        <v>78799342</v>
      </c>
      <c r="C21" s="52">
        <f>SUM(C22:C34)</f>
        <v>106179385.8</v>
      </c>
      <c r="D21" s="52">
        <f>SUM(D22:D34)</f>
        <v>2945.5699999999993</v>
      </c>
      <c r="E21" s="52">
        <f>SUM(E22:E34)</f>
        <v>99391193.860000014</v>
      </c>
      <c r="F21" s="184">
        <f>E21/C21</f>
        <v>0.93606864563347303</v>
      </c>
      <c r="G21" s="54">
        <f>C21-E21</f>
        <v>6788191.9399999827</v>
      </c>
      <c r="H21" s="52">
        <f>SUM(H22:H34)</f>
        <v>8475156.2800000012</v>
      </c>
      <c r="I21" s="52">
        <f>SUM(I22:I34)</f>
        <v>0</v>
      </c>
      <c r="J21" s="52">
        <f>SUM(J22:J34)</f>
        <v>1646330.64</v>
      </c>
      <c r="K21" s="52">
        <f>SUM(K22:K34)</f>
        <v>6828825.6399999997</v>
      </c>
      <c r="L21" s="184">
        <f>E21/B21</f>
        <v>1.2613200990942286</v>
      </c>
      <c r="M21" s="182">
        <v>8998435.3599999994</v>
      </c>
      <c r="N21" s="183">
        <f>M21-H21</f>
        <v>523279.07999999821</v>
      </c>
      <c r="O21" s="183"/>
    </row>
    <row r="22" spans="1:15" ht="15.75" customHeight="1" x14ac:dyDescent="0.25">
      <c r="A22" s="17" t="s">
        <v>23</v>
      </c>
      <c r="B22" s="51">
        <v>28724811</v>
      </c>
      <c r="C22" s="51">
        <f>'[1]AI MENSUAL'!$F$52+'[1]AI MENSUAL'!$G$52+'[1]AI MENSUAL'!$H$52+'[1]AI MENSUAL'!$I$52+'[1]AI MENSUAL'!$J$52+'[1]AI MENSUAL'!$K$52+'[1]AI MENSUAL'!$L$52+'[1]AI MENSUAL'!$M$52+'[1]AI MENSUAL'!$N$52+'[1]AI MENSUAL'!$O$52+'[6]AI MENSUAL'!$P$52+'[7]AI MENSUAL'!$Q$52</f>
        <v>42235562.440000005</v>
      </c>
      <c r="D22" s="51">
        <f>'[1]AI MENSUAL'!$F$53+'[1]AI MENSUAL'!$G$53+'[1]AI MENSUAL'!$H$53+'[1]AI MENSUAL'!$I$53+'[1]AI MENSUAL'!$J$53+'[1]AI MENSUAL'!$K$53+'[1]AI MENSUAL'!$L$53+'[1]AI MENSUAL'!$M$53+'[1]AI MENSUAL'!$N$53+'[1]AI MENSUAL'!$O$53+'[6]AI MENSUAL'!$P$53+'[7]AI MENSUAL'!$Q$53</f>
        <v>1546.8200000000002</v>
      </c>
      <c r="E22" s="51">
        <f>[8]GLOBAL!$F$230</f>
        <v>41625982.609999999</v>
      </c>
      <c r="F22" s="185">
        <f>E22/C22</f>
        <v>0.98556714307129267</v>
      </c>
      <c r="G22" s="53">
        <f>C22-E22</f>
        <v>609579.83000000566</v>
      </c>
      <c r="H22" s="53">
        <v>1301454.43</v>
      </c>
      <c r="I22" s="53">
        <v>0</v>
      </c>
      <c r="J22" s="53">
        <v>701323.19</v>
      </c>
      <c r="K22" s="53">
        <f t="shared" ref="K22:K34" si="5">+H22+I22-J22</f>
        <v>600131.24</v>
      </c>
      <c r="L22" s="185">
        <f>E22/B22</f>
        <v>1.4491299041097259</v>
      </c>
      <c r="M22" s="179">
        <v>5444098.2599999998</v>
      </c>
      <c r="N22" s="183">
        <f>M22-J21</f>
        <v>3797767.62</v>
      </c>
      <c r="O22" s="182"/>
    </row>
    <row r="23" spans="1:15" ht="15.75" customHeight="1" x14ac:dyDescent="0.25">
      <c r="A23" s="17" t="s">
        <v>24</v>
      </c>
      <c r="B23" s="51">
        <v>7609418</v>
      </c>
      <c r="C23" s="51">
        <f>'[7]AI MENSUAL'!$E$103</f>
        <v>7442074.0000000019</v>
      </c>
      <c r="D23" s="51">
        <f>'[7]AI MENSUAL'!$E$104</f>
        <v>899.97</v>
      </c>
      <c r="E23" s="51">
        <f>SUM([2]FISM!$G$55:$Q$55)+[8]FISM!$R$55</f>
        <v>7442074</v>
      </c>
      <c r="F23" s="185">
        <f t="shared" ref="F23:F29" si="6">E23/C23</f>
        <v>0.99999999999999978</v>
      </c>
      <c r="G23" s="53">
        <f t="shared" ref="G23:G31" si="7">C23-E23</f>
        <v>0</v>
      </c>
      <c r="H23" s="53">
        <v>1302.24</v>
      </c>
      <c r="I23" s="53">
        <v>0</v>
      </c>
      <c r="J23" s="53">
        <v>0</v>
      </c>
      <c r="K23" s="53">
        <f t="shared" si="5"/>
        <v>1302.24</v>
      </c>
      <c r="L23" s="185">
        <f t="shared" si="1"/>
        <v>0.97800830497154978</v>
      </c>
      <c r="M23" s="182"/>
      <c r="N23" s="183"/>
      <c r="O23" s="182"/>
    </row>
    <row r="24" spans="1:15" ht="15.75" customHeight="1" x14ac:dyDescent="0.25">
      <c r="A24" s="17" t="s">
        <v>25</v>
      </c>
      <c r="B24" s="51">
        <v>26777000</v>
      </c>
      <c r="C24" s="51">
        <f>'[7]AI MENSUAL'!$E$106</f>
        <v>27649395.11999999</v>
      </c>
      <c r="D24" s="51">
        <f>'[7]AI MENSUAL'!$E$107</f>
        <v>64.930000000000007</v>
      </c>
      <c r="E24" s="51">
        <f>SUM([2]FORTAMUN!$G$33:$Q$33)+[8]FORTAMUN!$R$33</f>
        <v>26203983.809999999</v>
      </c>
      <c r="F24" s="185">
        <f t="shared" si="6"/>
        <v>0.94772358296712023</v>
      </c>
      <c r="G24" s="53">
        <f>C24-E24</f>
        <v>1445411.3099999912</v>
      </c>
      <c r="H24" s="53">
        <v>2335690.92</v>
      </c>
      <c r="I24" s="53">
        <v>0</v>
      </c>
      <c r="J24" s="53">
        <v>890174.66999999993</v>
      </c>
      <c r="K24" s="53">
        <f t="shared" si="5"/>
        <v>1445516.25</v>
      </c>
      <c r="L24" s="185">
        <f t="shared" si="1"/>
        <v>0.9786004335810583</v>
      </c>
    </row>
    <row r="25" spans="1:15" ht="15.75" customHeight="1" x14ac:dyDescent="0.25">
      <c r="A25" s="17" t="s">
        <v>26</v>
      </c>
      <c r="B25" s="51">
        <v>1161847</v>
      </c>
      <c r="C25" s="51">
        <f>'[1]AI MENSUAL'!$F$77+'[1]AI MENSUAL'!$G$77+'[1]AI MENSUAL'!$H$77+'[1]AI MENSUAL'!$I$77+'[1]AI MENSUAL'!$J$77+'[1]AI MENSUAL'!$K$77+'[1]AI MENSUAL'!$L$77+'[1]AI MENSUAL'!$M$77+'[1]AI MENSUAL'!$N$77+'[1]AI MENSUAL'!$O$77+'[6]AI MENSUAL'!$P$77+'[7]AI MENSUAL'!$Q$77</f>
        <v>1790132.02</v>
      </c>
      <c r="D25" s="51">
        <f>'[1]AI MENSUAL'!$F$78+'[1]AI MENSUAL'!$G$78+'[1]AI MENSUAL'!$H$78+'[1]AI MENSUAL'!$I$78+'[1]AI MENSUAL'!$J$78+'[1]AI MENSUAL'!$K$78+'[1]AI MENSUAL'!$L$78+'[1]AI MENSUAL'!$M$78+'[1]AI MENSUAL'!$N$78+'[1]AI MENSUAL'!$O$78+'[6]AI MENSUAL'!$P$78+'[7]AI MENSUAL'!$Q$78</f>
        <v>38.789999999999992</v>
      </c>
      <c r="E25" s="51">
        <f>SUM([2]FFR!$G$25:$Q$25)+[8]FFR!$R$25</f>
        <v>1078105.6199999999</v>
      </c>
      <c r="F25" s="185">
        <f t="shared" si="6"/>
        <v>0.60224922405443582</v>
      </c>
      <c r="G25" s="53">
        <f t="shared" si="7"/>
        <v>712026.40000000014</v>
      </c>
      <c r="H25" s="53">
        <v>738234.19</v>
      </c>
      <c r="I25" s="53">
        <v>0</v>
      </c>
      <c r="J25" s="53">
        <v>18520.96</v>
      </c>
      <c r="K25" s="53">
        <f t="shared" si="5"/>
        <v>719713.23</v>
      </c>
      <c r="L25" s="185">
        <f t="shared" si="1"/>
        <v>0.92792391769312133</v>
      </c>
    </row>
    <row r="26" spans="1:15" ht="15.75" customHeight="1" x14ac:dyDescent="0.25">
      <c r="A26" s="17" t="s">
        <v>90</v>
      </c>
      <c r="B26" s="51">
        <v>12284567</v>
      </c>
      <c r="C26" s="51">
        <f>'[7]AI MENSUAL'!$E$48</f>
        <v>13518356.76</v>
      </c>
      <c r="D26" s="51">
        <f>'[1]AI MENSUAL'!$F$49+'[1]AI MENSUAL'!$G$49+'[1]AI MENSUAL'!$H$49+'[1]AI MENSUAL'!$I$49+'[1]AI MENSUAL'!$J$49+'[1]AI MENSUAL'!$K$49+'[1]AI MENSUAL'!$L$49+'[1]AI MENSUAL'!$M$49+'[1]AI MENSUAL'!$N$49+'[1]AI MENSUAL'!$O$49+'[6]AI MENSUAL'!$P$49+'[7]AI MENSUAL'!$Q$49</f>
        <v>231.47</v>
      </c>
      <c r="E26" s="51">
        <f>[8]GLOBAL!$F$293</f>
        <v>12416485.15</v>
      </c>
      <c r="F26" s="185">
        <f t="shared" si="6"/>
        <v>0.91849071380773362</v>
      </c>
      <c r="G26" s="53">
        <f t="shared" si="7"/>
        <v>1101871.6099999994</v>
      </c>
      <c r="H26" s="53">
        <v>1111284.54</v>
      </c>
      <c r="I26" s="53">
        <v>0</v>
      </c>
      <c r="J26" s="53">
        <v>9164.7800000000007</v>
      </c>
      <c r="K26" s="53">
        <f t="shared" si="5"/>
        <v>1102119.76</v>
      </c>
      <c r="L26" s="185">
        <f t="shared" si="1"/>
        <v>1.0107385266407845</v>
      </c>
    </row>
    <row r="27" spans="1:15" ht="15.75" customHeight="1" x14ac:dyDescent="0.25">
      <c r="A27" s="17" t="s">
        <v>91</v>
      </c>
      <c r="B27" s="51">
        <v>639170</v>
      </c>
      <c r="C27" s="51">
        <f>'[1]AI MENSUAL'!$F$62+'[1]AI MENSUAL'!$G$62+'[1]AI MENSUAL'!$H$62+'[1]AI MENSUAL'!$I$62+'[1]AI MENSUAL'!$J$62+'[1]AI MENSUAL'!$K$62+'[1]AI MENSUAL'!$L$62+'[1]AI MENSUAL'!$M$62+'[1]AI MENSUAL'!$M$66+'[1]AI MENSUAL'!$N$62+'[1]AI MENSUAL'!$O$62+'[6]AI MENSUAL'!$P$62+'[7]AI MENSUAL'!$Q$62</f>
        <v>802674.8</v>
      </c>
      <c r="D27" s="51">
        <f>'[1]AI MENSUAL'!$F$63+'[1]AI MENSUAL'!$G$63+'[1]AI MENSUAL'!$H$63+'[1]AI MENSUAL'!$I$63+'[1]AI MENSUAL'!$J$63+'[1]AI MENSUAL'!$K$63+'[1]AI MENSUAL'!$L$63+'[1]AI MENSUAL'!$M$63+'[1]AI MENSUAL'!$N$63+'[1]AI MENSUAL'!$O$63+'[6]AI MENSUAL'!$P$63+'[7]AI MENSUAL'!$Q$63</f>
        <v>1.58</v>
      </c>
      <c r="E27" s="51">
        <f>SUM('[2]IEPS TAB'!$G$11:$Q$11)+'[8]IEPS TAB'!$R$11</f>
        <v>755045.27</v>
      </c>
      <c r="F27" s="185">
        <f t="shared" si="6"/>
        <v>0.94066148582215359</v>
      </c>
      <c r="G27" s="53">
        <f t="shared" si="7"/>
        <v>47629.530000000028</v>
      </c>
      <c r="H27" s="53">
        <v>74778.28</v>
      </c>
      <c r="I27" s="53">
        <v>0</v>
      </c>
      <c r="J27" s="53">
        <v>27147</v>
      </c>
      <c r="K27" s="53">
        <f t="shared" si="5"/>
        <v>47631.28</v>
      </c>
      <c r="L27" s="185">
        <f t="shared" si="1"/>
        <v>1.1812902201292301</v>
      </c>
    </row>
    <row r="28" spans="1:15" ht="15.75" customHeight="1" x14ac:dyDescent="0.25">
      <c r="A28" s="17" t="s">
        <v>94</v>
      </c>
      <c r="B28" s="51">
        <v>1325120</v>
      </c>
      <c r="C28" s="51">
        <f>'[1]AI MENSUAL'!$F$58+'[1]AI MENSUAL'!$G$58+'[1]AI MENSUAL'!$H$58+'[1]AI MENSUAL'!$I$58+'[1]AI MENSUAL'!$J$58+'[1]AI MENSUAL'!$K$58+'[1]AI MENSUAL'!$L$58+'[1]AI MENSUAL'!$M$58+'[1]AI MENSUAL'!$N$58+'[1]AI MENSUAL'!$O$58+'[6]AI MENSUAL'!$P$58+'[7]AI MENSUAL'!$Q$58</f>
        <v>1344134.68</v>
      </c>
      <c r="D28" s="51">
        <f>'[1]AI MENSUAL'!$F$59+'[1]AI MENSUAL'!$G$59+'[1]AI MENSUAL'!$H$59+'[1]AI MENSUAL'!$I$59+'[1]AI MENSUAL'!$J$59+'[1]AI MENSUAL'!$K$59+'[1]AI MENSUAL'!$L$59+'[1]AI MENSUAL'!$M$59+'[1]AI MENSUAL'!$N$59+'[1]AI MENSUAL'!$O$59+'[6]AI MENSUAL'!$P$59+'[7]AI MENSUAL'!$Q$59</f>
        <v>7.0200000000000005</v>
      </c>
      <c r="E28" s="51">
        <f>SUM('[2]IEPS GAS'!$G$11:$Q$11)+'[8]IEPS GAS'!$R$11</f>
        <v>1243662.2300000002</v>
      </c>
      <c r="F28" s="185">
        <f t="shared" si="6"/>
        <v>0.92525120324996024</v>
      </c>
      <c r="G28" s="53">
        <f t="shared" si="7"/>
        <v>100472.44999999972</v>
      </c>
      <c r="H28" s="53">
        <v>101361.4</v>
      </c>
      <c r="I28" s="53">
        <v>0</v>
      </c>
      <c r="J28" s="53">
        <v>0</v>
      </c>
      <c r="K28" s="53">
        <f t="shared" si="5"/>
        <v>101361.4</v>
      </c>
      <c r="L28" s="185">
        <f t="shared" si="1"/>
        <v>0.93852800501086708</v>
      </c>
    </row>
    <row r="29" spans="1:15" ht="15.75" customHeight="1" x14ac:dyDescent="0.25">
      <c r="A29" s="17" t="s">
        <v>92</v>
      </c>
      <c r="B29" s="51">
        <v>50110</v>
      </c>
      <c r="C29" s="51">
        <f>'[1]AI MENSUAL'!$F$70+'[1]AI MENSUAL'!$G$70+'[1]AI MENSUAL'!$H$70+'[1]AI MENSUAL'!$I$70+'[1]AI MENSUAL'!$J$70+'[1]AI MENSUAL'!$K$70+'[1]AI MENSUAL'!$L$70+'[1]AI MENSUAL'!$M$70+'[1]AI MENSUAL'!$N$70+'[1]AI MENSUAL'!$O$70+'[6]AI MENSUAL'!$P$70+'[7]AI MENSUAL'!$Q$70</f>
        <v>95509.60000000002</v>
      </c>
      <c r="D29" s="51">
        <f>'[1]AI MENSUAL'!$F$71+'[1]AI MENSUAL'!$G$71+'[1]AI MENSUAL'!$H$71+'[1]AI MENSUAL'!$I$71+'[1]AI MENSUAL'!$J$71+'[1]AI MENSUAL'!$K$71+'[1]AI MENSUAL'!$L$71+'[1]AI MENSUAL'!$M$71+'[1]AI MENSUAL'!$N$71+'[1]AI MENSUAL'!$O$71+'[6]AI MENSUAL'!$P$71+'[7]AI MENSUAL'!$Q$71</f>
        <v>0.95</v>
      </c>
      <c r="E29" s="51">
        <f>SUM([2]CISAN!$G$11:$Q$11)+[8]CISAN!$R$11</f>
        <v>59331.569999999992</v>
      </c>
      <c r="F29" s="185">
        <f t="shared" si="6"/>
        <v>0.6212105379982743</v>
      </c>
      <c r="G29" s="53">
        <f t="shared" si="7"/>
        <v>36178.030000000028</v>
      </c>
      <c r="H29" s="53">
        <v>36139</v>
      </c>
      <c r="I29" s="53">
        <v>0</v>
      </c>
      <c r="J29" s="53">
        <v>0</v>
      </c>
      <c r="K29" s="53">
        <f t="shared" si="5"/>
        <v>36139</v>
      </c>
      <c r="L29" s="185">
        <f t="shared" si="1"/>
        <v>1.1840265416084612</v>
      </c>
    </row>
    <row r="30" spans="1:15" ht="15.75" customHeight="1" x14ac:dyDescent="0.25">
      <c r="A30" s="17" t="s">
        <v>93</v>
      </c>
      <c r="B30" s="51">
        <v>227299</v>
      </c>
      <c r="C30" s="51">
        <f>'[1]AI MENSUAL'!$F$67+'[1]AI MENSUAL'!$G$67+'[1]AI MENSUAL'!$H$67+'[1]AI MENSUAL'!$I$67+'[1]AI MENSUAL'!$J$67+'[1]AI MENSUAL'!$K$67+'[1]AI MENSUAL'!$L$67+'[1]AI MENSUAL'!$M$67+'[1]AI MENSUAL'!$N$67+'[1]AI MENSUAL'!$O$67+'[6]AI MENSUAL'!$P$67+'[7]AI MENSUAL'!$Q$67</f>
        <v>573720.97</v>
      </c>
      <c r="D30" s="51">
        <f>'[1]AI MENSUAL'!$F$68+'[1]AI MENSUAL'!$G$68+'[1]AI MENSUAL'!$H$68+'[1]AI MENSUAL'!$I$68+'[1]AI MENSUAL'!$J$68+'[1]AI MENSUAL'!$K$68+'[1]AI MENSUAL'!$L$68+'[1]AI MENSUAL'!$M$68+'[1]AI MENSUAL'!$N$68+'[1]AI MENSUAL'!$O$68+'[6]AI MENSUAL'!$P$68+'[7]AI MENSUAL'!$Q$68</f>
        <v>2.85</v>
      </c>
      <c r="E30" s="51">
        <f>SUM([2]ISAN!$G$11:$Q$11)+[8]ISAN!$R$11</f>
        <v>507700.92</v>
      </c>
      <c r="F30" s="185">
        <f>E30/C30</f>
        <v>0.88492655236220497</v>
      </c>
      <c r="G30" s="53">
        <f>C30-E30</f>
        <v>66020.049999999988</v>
      </c>
      <c r="H30" s="53">
        <v>66023.66</v>
      </c>
      <c r="I30" s="53">
        <v>0</v>
      </c>
      <c r="J30" s="53">
        <v>0</v>
      </c>
      <c r="K30" s="53">
        <f t="shared" si="5"/>
        <v>66023.66</v>
      </c>
      <c r="L30" s="185">
        <f>E30/B30</f>
        <v>2.2336258408527971</v>
      </c>
    </row>
    <row r="31" spans="1:15" ht="15.75" customHeight="1" x14ac:dyDescent="0.25">
      <c r="A31" s="17" t="s">
        <v>95</v>
      </c>
      <c r="B31" s="51">
        <v>0</v>
      </c>
      <c r="C31" s="51">
        <f>'[1]AI MENSUAL'!$F$95+'[1]AI MENSUAL'!$G$95+'[1]AI MENSUAL'!$H$95+'[1]AI MENSUAL'!$I$95+'[1]AI MENSUAL'!$J$95+'[1]AI MENSUAL'!$K$95+'[1]AI MENSUAL'!$L$95+'[1]AI MENSUAL'!$M$95+'[1]AI MENSUAL'!$N$95+'[1]AI MENSUAL'!$O$95+'[6]AI MENSUAL'!$P$95+'[7]AI MENSUAL'!$Q$95</f>
        <v>78923</v>
      </c>
      <c r="D31" s="51">
        <f>'[1]AI MENSUAL'!$F$96+'[1]AI MENSUAL'!$G$96+'[1]AI MENSUAL'!$H$96+'[1]AI MENSUAL'!$I$96+'[1]AI MENSUAL'!$J$96+'[1]AI MENSUAL'!$K$96+'[1]AI MENSUAL'!$L$96+'[1]AI MENSUAL'!$M$96+'[1]AI MENSUAL'!$N$96+'[1]AI MENSUAL'!$O$96+'[6]AI MENSUAL'!$P$96+'[7]AI MENSUAL'!$Q$96</f>
        <v>0.36</v>
      </c>
      <c r="E31" s="51">
        <f>SUM([2]PRODDER!$G$12:$Q$12)+[8]PRODDER!$R$12</f>
        <v>81222.64</v>
      </c>
      <c r="F31" s="185">
        <v>0</v>
      </c>
      <c r="G31" s="53">
        <f t="shared" si="7"/>
        <v>-2299.6399999999994</v>
      </c>
      <c r="H31" s="53">
        <v>38312.36</v>
      </c>
      <c r="I31" s="53">
        <v>0</v>
      </c>
      <c r="J31" s="53">
        <v>0</v>
      </c>
      <c r="K31" s="53">
        <f t="shared" si="5"/>
        <v>38312.36</v>
      </c>
      <c r="L31" s="185">
        <v>0</v>
      </c>
    </row>
    <row r="32" spans="1:15" ht="15.75" customHeight="1" x14ac:dyDescent="0.25">
      <c r="A32" s="17" t="s">
        <v>27</v>
      </c>
      <c r="B32" s="51">
        <v>0</v>
      </c>
      <c r="C32" s="51">
        <f>'[1]AI MENSUAL'!$F$89+'[1]AI MENSUAL'!$G$89+'[1]AI MENSUAL'!$H$89+'[1]AI MENSUAL'!$I$89+'[1]AI MENSUAL'!$J$89+'[1]AI MENSUAL'!$K$89+'[1]AI MENSUAL'!$L$89+'[1]AI MENSUAL'!$M$89+'[1]AI MENSUAL'!$N$89+'[1]AI MENSUAL'!$O$89+'[6]AI MENSUAL'!$P$89+'[7]AI MENSUAL'!$Q$89</f>
        <v>6754789.3600000003</v>
      </c>
      <c r="D32" s="51">
        <f>'[1]AI MENSUAL'!$F$90+'[1]AI MENSUAL'!$G$90+'[1]AI MENSUAL'!$H$90+'[1]AI MENSUAL'!$I$90+'[1]AI MENSUAL'!$J$90+'[1]AI MENSUAL'!$K$90+'[1]AI MENSUAL'!$L$90+'[1]AI MENSUAL'!$M$90+'[1]AI MENSUAL'!$N$90+'[1]AI MENSUAL'!$O$90+'[6]AI MENSUAL'!$P$90+'[7]AI MENSUAL'!$Q$90</f>
        <v>121.22</v>
      </c>
      <c r="E32" s="51">
        <f>[8]GLOBAL!$F$416</f>
        <v>5625832.1999999993</v>
      </c>
      <c r="F32" s="185">
        <f>E32/C32</f>
        <v>0.8328656750297242</v>
      </c>
      <c r="G32" s="53">
        <f t="shared" ref="G32:G37" si="8">C32-E32</f>
        <v>1128957.1600000011</v>
      </c>
      <c r="H32" s="53">
        <v>1129081.8500000001</v>
      </c>
      <c r="I32" s="53">
        <v>0</v>
      </c>
      <c r="J32" s="53">
        <v>0.04</v>
      </c>
      <c r="K32" s="53">
        <f t="shared" si="5"/>
        <v>1129081.81</v>
      </c>
      <c r="L32" s="185">
        <v>0</v>
      </c>
    </row>
    <row r="33" spans="1:12" ht="15.75" customHeight="1" x14ac:dyDescent="0.25">
      <c r="A33" s="17" t="s">
        <v>116</v>
      </c>
      <c r="B33" s="51">
        <v>0</v>
      </c>
      <c r="C33" s="51">
        <f>'[7]AI MENSUAL'!$E$135</f>
        <v>3893231.64</v>
      </c>
      <c r="D33" s="51">
        <f>'[7]AI MENSUAL'!$E$136</f>
        <v>29.61</v>
      </c>
      <c r="E33" s="51">
        <f>[8]GLOBAL!$F$465</f>
        <v>2351767.84</v>
      </c>
      <c r="F33" s="185">
        <f>E33/C33</f>
        <v>0.60406573701841171</v>
      </c>
      <c r="G33" s="53">
        <f t="shared" si="8"/>
        <v>1541463.8000000003</v>
      </c>
      <c r="H33" s="53">
        <v>1541493.41</v>
      </c>
      <c r="I33" s="53">
        <v>0</v>
      </c>
      <c r="J33" s="53">
        <v>0</v>
      </c>
      <c r="K33" s="53">
        <f t="shared" si="5"/>
        <v>1541493.41</v>
      </c>
      <c r="L33" s="185">
        <v>0</v>
      </c>
    </row>
    <row r="34" spans="1:12" ht="15.75" customHeight="1" x14ac:dyDescent="0.25">
      <c r="A34" s="17" t="s">
        <v>117</v>
      </c>
      <c r="B34" s="51"/>
      <c r="C34" s="51">
        <f>'[7]AI MENSUAL'!$Q$99</f>
        <v>881.41</v>
      </c>
      <c r="D34" s="51">
        <v>0</v>
      </c>
      <c r="E34" s="51">
        <v>0</v>
      </c>
      <c r="F34" s="185">
        <f>E34/C34</f>
        <v>0</v>
      </c>
      <c r="G34" s="53">
        <f t="shared" si="8"/>
        <v>881.41</v>
      </c>
      <c r="H34" s="53">
        <v>0</v>
      </c>
      <c r="I34" s="53">
        <v>0</v>
      </c>
      <c r="J34" s="53">
        <v>0</v>
      </c>
      <c r="K34" s="53">
        <f t="shared" si="5"/>
        <v>0</v>
      </c>
      <c r="L34" s="185">
        <v>0</v>
      </c>
    </row>
    <row r="35" spans="1:12" ht="15.75" customHeight="1" x14ac:dyDescent="0.25">
      <c r="A35" s="13" t="s">
        <v>97</v>
      </c>
      <c r="B35" s="52">
        <f>SUM(B37:B47)</f>
        <v>0</v>
      </c>
      <c r="C35" s="52">
        <f>SUM(C36:C48)</f>
        <v>0</v>
      </c>
      <c r="D35" s="52">
        <f>SUM(D36:D48)</f>
        <v>594.92000000000007</v>
      </c>
      <c r="E35" s="52">
        <f>SUM(E36:E48)</f>
        <v>0</v>
      </c>
      <c r="F35" s="184">
        <v>0</v>
      </c>
      <c r="G35" s="54">
        <f t="shared" si="8"/>
        <v>0</v>
      </c>
      <c r="H35" s="52">
        <f>SUM(H36:H48)</f>
        <v>0</v>
      </c>
      <c r="I35" s="52">
        <f>SUM(I36:I48)</f>
        <v>0</v>
      </c>
      <c r="J35" s="52">
        <f>SUM(J36:J48)</f>
        <v>0</v>
      </c>
      <c r="K35" s="52">
        <f>SUM(K36:K48)</f>
        <v>0</v>
      </c>
      <c r="L35" s="184">
        <v>0</v>
      </c>
    </row>
    <row r="36" spans="1:12" ht="15.75" customHeight="1" x14ac:dyDescent="0.25">
      <c r="A36" s="17" t="s">
        <v>99</v>
      </c>
      <c r="B36" s="51">
        <v>0</v>
      </c>
      <c r="C36" s="51">
        <v>0</v>
      </c>
      <c r="D36" s="51">
        <v>0</v>
      </c>
      <c r="E36" s="51">
        <v>0</v>
      </c>
      <c r="F36" s="185">
        <v>0</v>
      </c>
      <c r="G36" s="53">
        <f t="shared" si="8"/>
        <v>0</v>
      </c>
      <c r="H36" s="53">
        <v>0</v>
      </c>
      <c r="I36" s="53">
        <v>0</v>
      </c>
      <c r="J36" s="53">
        <v>0</v>
      </c>
      <c r="K36" s="53">
        <f>+H36+I36-J36</f>
        <v>0</v>
      </c>
      <c r="L36" s="185">
        <v>0</v>
      </c>
    </row>
    <row r="37" spans="1:12" ht="15.75" customHeight="1" x14ac:dyDescent="0.25">
      <c r="A37" s="17" t="s">
        <v>23</v>
      </c>
      <c r="B37" s="51">
        <v>0</v>
      </c>
      <c r="C37" s="51">
        <v>0</v>
      </c>
      <c r="D37" s="51">
        <f>'[1]AI MENSUAL'!$F$54+'[1]AI MENSUAL'!$G$54+'[1]AI MENSUAL'!$H$54+'[1]AI MENSUAL'!$I$54+'[1]AI MENSUAL'!$J$54+'[1]AI MENSUAL'!$K$54+'[1]AI MENSUAL'!$L$54+'[1]AI MENSUAL'!$M$54+'[1]AI MENSUAL'!$N$60+'[1]AI MENSUAL'!$N$54+'[1]AI MENSUAL'!$O$54</f>
        <v>123.86000000000003</v>
      </c>
      <c r="E37" s="51">
        <v>0</v>
      </c>
      <c r="F37" s="185">
        <v>0</v>
      </c>
      <c r="G37" s="53">
        <f t="shared" si="8"/>
        <v>0</v>
      </c>
      <c r="H37" s="53">
        <v>0</v>
      </c>
      <c r="I37" s="53">
        <v>0</v>
      </c>
      <c r="J37" s="53">
        <v>0</v>
      </c>
      <c r="K37" s="53">
        <f>+H37+I37-J37</f>
        <v>0</v>
      </c>
      <c r="L37" s="185">
        <v>0</v>
      </c>
    </row>
    <row r="38" spans="1:12" ht="15.75" customHeight="1" x14ac:dyDescent="0.25">
      <c r="A38" s="17" t="s">
        <v>24</v>
      </c>
      <c r="B38" s="51">
        <v>0</v>
      </c>
      <c r="C38" s="51">
        <v>0</v>
      </c>
      <c r="D38" s="51">
        <f>'[1]AI MENSUAL'!$F$103+'[1]AI MENSUAL'!$G$103+'[1]AI MENSUAL'!$H$103+'[1]AI MENSUAL'!$I$103+'[1]AI MENSUAL'!$J$103+'[1]AI MENSUAL'!$L$103+'[1]AI MENSUAL'!$M$103+'[1]AI MENSUAL'!$N$103+'[1]AI MENSUAL'!$O$103</f>
        <v>402.27000000000004</v>
      </c>
      <c r="E38" s="51">
        <v>0</v>
      </c>
      <c r="F38" s="185">
        <v>0</v>
      </c>
      <c r="G38" s="53">
        <f t="shared" ref="G38:G61" si="9">C38-E38</f>
        <v>0</v>
      </c>
      <c r="H38" s="53">
        <v>0</v>
      </c>
      <c r="I38" s="53">
        <v>0</v>
      </c>
      <c r="J38" s="53">
        <v>0</v>
      </c>
      <c r="K38" s="53">
        <f t="shared" ref="K38:K46" si="10">+H38+I38-J38</f>
        <v>0</v>
      </c>
      <c r="L38" s="185">
        <v>0</v>
      </c>
    </row>
    <row r="39" spans="1:12" ht="15.75" customHeight="1" x14ac:dyDescent="0.25">
      <c r="A39" s="17" t="s">
        <v>25</v>
      </c>
      <c r="B39" s="51">
        <v>0</v>
      </c>
      <c r="C39" s="51">
        <v>0</v>
      </c>
      <c r="D39" s="51">
        <f>'[1]AI MENSUAL'!$F$106+'[1]AI MENSUAL'!$G$106+'[1]AI MENSUAL'!$H$106+'[1]AI MENSUAL'!$I$106+'[1]AI MENSUAL'!$J$106+'[1]AI MENSUAL'!$K$106+'[1]AI MENSUAL'!$L$106+'[1]AI MENSUAL'!$M$106+'[1]AI MENSUAL'!$N$106+'[1]AI MENSUAL'!$O$106</f>
        <v>40.109999999999992</v>
      </c>
      <c r="E39" s="51">
        <v>0</v>
      </c>
      <c r="F39" s="185">
        <v>0</v>
      </c>
      <c r="G39" s="53">
        <f t="shared" si="9"/>
        <v>0</v>
      </c>
      <c r="H39" s="53">
        <v>0</v>
      </c>
      <c r="I39" s="53">
        <v>0</v>
      </c>
      <c r="J39" s="53">
        <v>0</v>
      </c>
      <c r="K39" s="53">
        <f t="shared" si="10"/>
        <v>0</v>
      </c>
      <c r="L39" s="185">
        <v>0</v>
      </c>
    </row>
    <row r="40" spans="1:12" ht="15.75" customHeight="1" x14ac:dyDescent="0.25">
      <c r="A40" s="17" t="s">
        <v>26</v>
      </c>
      <c r="B40" s="51">
        <v>0</v>
      </c>
      <c r="C40" s="51">
        <v>0</v>
      </c>
      <c r="D40" s="51">
        <f>'[1]AI MENSUAL'!$F$79+'[1]AI MENSUAL'!$G$79+'[1]AI MENSUAL'!$H$79+'[1]AI MENSUAL'!$I$79+'[1]AI MENSUAL'!$J$79+'[1]AI MENSUAL'!$K$79+'[1]AI MENSUAL'!$L$79+'[1]AI MENSUAL'!$M$79+'[1]AI MENSUAL'!$O$79</f>
        <v>6.5200000000000005</v>
      </c>
      <c r="E40" s="51">
        <v>0</v>
      </c>
      <c r="F40" s="185">
        <v>0</v>
      </c>
      <c r="G40" s="53">
        <f t="shared" si="9"/>
        <v>0</v>
      </c>
      <c r="H40" s="53">
        <v>0</v>
      </c>
      <c r="I40" s="53">
        <v>0</v>
      </c>
      <c r="J40" s="53">
        <v>0</v>
      </c>
      <c r="K40" s="53">
        <f t="shared" si="10"/>
        <v>0</v>
      </c>
      <c r="L40" s="185">
        <v>0</v>
      </c>
    </row>
    <row r="41" spans="1:12" ht="15.75" customHeight="1" x14ac:dyDescent="0.25">
      <c r="A41" s="17" t="s">
        <v>90</v>
      </c>
      <c r="B41" s="51">
        <v>0</v>
      </c>
      <c r="C41" s="51">
        <v>0</v>
      </c>
      <c r="D41" s="51">
        <f>'[1]AI MENSUAL'!$F$50+'[1]AI MENSUAL'!$G$50+'[1]AI MENSUAL'!$H$50+'[1]AI MENSUAL'!$I$50+'[1]AI MENSUAL'!$J$50+'[1]AI MENSUAL'!$K$50+'[1]AI MENSUAL'!$M$50+'[1]AI MENSUAL'!$N$50+'[1]AI MENSUAL'!$O$50</f>
        <v>16.68</v>
      </c>
      <c r="E41" s="51">
        <v>0</v>
      </c>
      <c r="F41" s="185">
        <v>0</v>
      </c>
      <c r="G41" s="53">
        <f t="shared" si="9"/>
        <v>0</v>
      </c>
      <c r="H41" s="53">
        <v>0</v>
      </c>
      <c r="I41" s="53">
        <v>0</v>
      </c>
      <c r="J41" s="53">
        <v>0</v>
      </c>
      <c r="K41" s="53">
        <f t="shared" si="10"/>
        <v>0</v>
      </c>
      <c r="L41" s="185">
        <v>0</v>
      </c>
    </row>
    <row r="42" spans="1:12" ht="15.75" customHeight="1" x14ac:dyDescent="0.25">
      <c r="A42" s="17" t="s">
        <v>91</v>
      </c>
      <c r="B42" s="51">
        <v>0</v>
      </c>
      <c r="C42" s="51">
        <v>0</v>
      </c>
      <c r="D42" s="51">
        <f>'[1]AI MENSUAL'!$F$64+'[1]AI MENSUAL'!$G$64+'[1]AI MENSUAL'!$H$64+'[1]AI MENSUAL'!$I$64+'[1]AI MENSUAL'!$J$64+'[1]AI MENSUAL'!$K$64+'[1]AI MENSUAL'!$L$64+'[1]AI MENSUAL'!$M$64+'[1]AI MENSUAL'!$N$64+'[1]AI MENSUAL'!$O$64</f>
        <v>0.2</v>
      </c>
      <c r="E42" s="51">
        <v>0</v>
      </c>
      <c r="F42" s="185">
        <v>0</v>
      </c>
      <c r="G42" s="53">
        <f t="shared" si="9"/>
        <v>0</v>
      </c>
      <c r="H42" s="53">
        <v>0</v>
      </c>
      <c r="I42" s="53">
        <v>0</v>
      </c>
      <c r="J42" s="53">
        <v>0</v>
      </c>
      <c r="K42" s="53">
        <f t="shared" si="10"/>
        <v>0</v>
      </c>
      <c r="L42" s="185">
        <v>0</v>
      </c>
    </row>
    <row r="43" spans="1:12" ht="15.75" customHeight="1" x14ac:dyDescent="0.25">
      <c r="A43" s="17" t="s">
        <v>94</v>
      </c>
      <c r="B43" s="51">
        <v>0</v>
      </c>
      <c r="C43" s="51">
        <v>0</v>
      </c>
      <c r="D43" s="51">
        <f>'[1]AI MENSUAL'!$F$60+'[1]AI MENSUAL'!$G$60+'[1]AI MENSUAL'!$H$60+'[1]AI MENSUAL'!$I$60+'[1]AI MENSUAL'!$J$60+'[1]AI MENSUAL'!$K$60+'[1]AI MENSUAL'!$L$60+'[1]AI MENSUAL'!$M$60+'[1]AI MENSUAL'!$N$60+'[1]AI MENSUAL'!$O$60</f>
        <v>0.49</v>
      </c>
      <c r="E43" s="51">
        <v>0</v>
      </c>
      <c r="F43" s="185">
        <v>0</v>
      </c>
      <c r="G43" s="53">
        <f t="shared" si="9"/>
        <v>0</v>
      </c>
      <c r="H43" s="53">
        <v>0</v>
      </c>
      <c r="I43" s="53">
        <v>0</v>
      </c>
      <c r="J43" s="53">
        <v>0</v>
      </c>
      <c r="K43" s="53">
        <f t="shared" si="10"/>
        <v>0</v>
      </c>
      <c r="L43" s="185">
        <v>0</v>
      </c>
    </row>
    <row r="44" spans="1:12" ht="15.75" customHeight="1" x14ac:dyDescent="0.25">
      <c r="A44" s="17" t="s">
        <v>92</v>
      </c>
      <c r="B44" s="51">
        <v>0</v>
      </c>
      <c r="C44" s="51">
        <v>0</v>
      </c>
      <c r="D44" s="51">
        <f>'[1]AI MENSUAL'!$F$72+'[1]AI MENSUAL'!$G$72+'[1]AI MENSUAL'!$H$72+'[1]AI MENSUAL'!$I$72+'[1]AI MENSUAL'!$J$72+'[1]AI MENSUAL'!$K$72+'[1]AI MENSUAL'!$L$72+'[1]AI MENSUAL'!$M$72+'[1]AI MENSUAL'!$N$72+'[1]AI MENSUAL'!$O$72</f>
        <v>0.02</v>
      </c>
      <c r="E44" s="51">
        <v>0</v>
      </c>
      <c r="F44" s="185">
        <v>0</v>
      </c>
      <c r="G44" s="53">
        <f t="shared" si="9"/>
        <v>0</v>
      </c>
      <c r="H44" s="53">
        <v>0</v>
      </c>
      <c r="I44" s="53">
        <v>0</v>
      </c>
      <c r="J44" s="53">
        <v>0</v>
      </c>
      <c r="K44" s="53">
        <f t="shared" si="10"/>
        <v>0</v>
      </c>
      <c r="L44" s="185">
        <v>0</v>
      </c>
    </row>
    <row r="45" spans="1:12" ht="15.75" customHeight="1" x14ac:dyDescent="0.25">
      <c r="A45" s="17" t="s">
        <v>93</v>
      </c>
      <c r="B45" s="51">
        <v>0</v>
      </c>
      <c r="C45" s="51">
        <v>0</v>
      </c>
      <c r="D45" s="51">
        <f>'[1]AI MENSUAL'!$F$69+'[1]AI MENSUAL'!$G$69+'[1]AI MENSUAL'!$H$69+'[1]AI MENSUAL'!$I$69+'[1]AI MENSUAL'!$J$69+'[1]AI MENSUAL'!$K$69+'[1]AI MENSUAL'!$L$69+'[1]AI MENSUAL'!$M$69+'[1]AI MENSUAL'!$N$69+'[1]AI MENSUAL'!$O$69</f>
        <v>0.76</v>
      </c>
      <c r="E45" s="51">
        <v>0</v>
      </c>
      <c r="F45" s="185">
        <v>0</v>
      </c>
      <c r="G45" s="53">
        <f t="shared" si="9"/>
        <v>0</v>
      </c>
      <c r="H45" s="53">
        <v>0</v>
      </c>
      <c r="I45" s="53">
        <v>0</v>
      </c>
      <c r="J45" s="53">
        <v>0</v>
      </c>
      <c r="K45" s="53">
        <f t="shared" si="10"/>
        <v>0</v>
      </c>
      <c r="L45" s="185">
        <v>0</v>
      </c>
    </row>
    <row r="46" spans="1:12" ht="15.75" customHeight="1" x14ac:dyDescent="0.25">
      <c r="A46" s="17" t="s">
        <v>95</v>
      </c>
      <c r="B46" s="51">
        <v>0</v>
      </c>
      <c r="C46" s="51">
        <v>0</v>
      </c>
      <c r="D46" s="51">
        <f>'[1]AI MENSUAL'!$F$97+'[1]AI MENSUAL'!$G$97+'[1]AI MENSUAL'!$H$97+'[1]AI MENSUAL'!$I$97+'[1]AI MENSUAL'!$J$97+'[1]AI MENSUAL'!$K$97+'[1]AI MENSUAL'!$L$97+'[1]AI MENSUAL'!$M$97+'[1]AI MENSUAL'!$N$97+'[1]AI MENSUAL'!$O$97</f>
        <v>0.58000000000000007</v>
      </c>
      <c r="E46" s="51">
        <v>0</v>
      </c>
      <c r="F46" s="185">
        <v>0</v>
      </c>
      <c r="G46" s="53">
        <f t="shared" si="9"/>
        <v>0</v>
      </c>
      <c r="H46" s="53">
        <v>0</v>
      </c>
      <c r="I46" s="53">
        <v>0</v>
      </c>
      <c r="J46" s="53">
        <v>0</v>
      </c>
      <c r="K46" s="53">
        <f t="shared" si="10"/>
        <v>0</v>
      </c>
      <c r="L46" s="185">
        <v>0</v>
      </c>
    </row>
    <row r="47" spans="1:12" ht="15.75" customHeight="1" x14ac:dyDescent="0.25">
      <c r="A47" s="17" t="s">
        <v>27</v>
      </c>
      <c r="B47" s="51">
        <v>0</v>
      </c>
      <c r="C47" s="51">
        <v>0</v>
      </c>
      <c r="D47" s="51">
        <f>'[1]AI MENSUAL'!$F$91+'[1]AI MENSUAL'!$G$91+'[1]AI MENSUAL'!$H$91+'[1]AI MENSUAL'!$I$91+'[1]AI MENSUAL'!$J$91+'[1]AI MENSUAL'!$K$91+'[1]AI MENSUAL'!$L$91+'[1]AI MENSUAL'!$M$91+'[1]AI MENSUAL'!$N$91+'[1]AI MENSUAL'!$O$91</f>
        <v>3.4299999999999997</v>
      </c>
      <c r="E47" s="51">
        <v>0</v>
      </c>
      <c r="F47" s="185">
        <v>0</v>
      </c>
      <c r="G47" s="53">
        <f t="shared" si="9"/>
        <v>0</v>
      </c>
      <c r="H47" s="53">
        <v>0</v>
      </c>
      <c r="I47" s="53">
        <v>0</v>
      </c>
      <c r="J47" s="53">
        <v>0</v>
      </c>
      <c r="K47" s="53">
        <f>+H47+I47-J47</f>
        <v>0</v>
      </c>
      <c r="L47" s="185">
        <v>0</v>
      </c>
    </row>
    <row r="48" spans="1:12" ht="15.75" customHeight="1" x14ac:dyDescent="0.25">
      <c r="A48" s="17" t="s">
        <v>115</v>
      </c>
      <c r="B48" s="51">
        <v>0</v>
      </c>
      <c r="C48" s="51">
        <v>0</v>
      </c>
      <c r="D48" s="51">
        <v>0</v>
      </c>
      <c r="E48" s="51">
        <v>0</v>
      </c>
      <c r="F48" s="185">
        <v>0</v>
      </c>
      <c r="G48" s="53">
        <f t="shared" si="9"/>
        <v>0</v>
      </c>
      <c r="H48" s="53">
        <v>0</v>
      </c>
      <c r="I48" s="53">
        <v>0</v>
      </c>
      <c r="J48" s="53">
        <v>0</v>
      </c>
      <c r="K48" s="53">
        <f>+H48+I48-J48</f>
        <v>0</v>
      </c>
      <c r="L48" s="185">
        <v>0</v>
      </c>
    </row>
    <row r="49" spans="1:12" ht="15.75" customHeight="1" x14ac:dyDescent="0.25">
      <c r="A49" s="13" t="s">
        <v>98</v>
      </c>
      <c r="B49" s="52">
        <f>SUM(B50:B54)</f>
        <v>0</v>
      </c>
      <c r="C49" s="52">
        <f>SUM(C50:C54)</f>
        <v>0</v>
      </c>
      <c r="D49" s="52">
        <f>SUM(D50:D54)</f>
        <v>0</v>
      </c>
      <c r="E49" s="52">
        <f>SUM(E50:E54)</f>
        <v>0</v>
      </c>
      <c r="F49" s="184">
        <v>0</v>
      </c>
      <c r="G49" s="54">
        <f t="shared" si="9"/>
        <v>0</v>
      </c>
      <c r="H49" s="52">
        <f>SUM(H50:H54)</f>
        <v>0</v>
      </c>
      <c r="I49" s="52">
        <f t="shared" ref="I49:J49" si="11">SUM(I50:I54)</f>
        <v>0</v>
      </c>
      <c r="J49" s="52">
        <f t="shared" si="11"/>
        <v>0</v>
      </c>
      <c r="K49" s="52">
        <f>SUM(K50:K54)</f>
        <v>0</v>
      </c>
      <c r="L49" s="184">
        <v>0</v>
      </c>
    </row>
    <row r="50" spans="1:12" ht="15.75" customHeight="1" x14ac:dyDescent="0.25">
      <c r="A50" s="17" t="s">
        <v>99</v>
      </c>
      <c r="B50" s="51">
        <v>0</v>
      </c>
      <c r="C50" s="51">
        <v>0</v>
      </c>
      <c r="D50" s="51">
        <v>0</v>
      </c>
      <c r="E50" s="51">
        <v>0</v>
      </c>
      <c r="F50" s="185">
        <v>0</v>
      </c>
      <c r="G50" s="53">
        <f t="shared" si="9"/>
        <v>0</v>
      </c>
      <c r="H50" s="53">
        <v>0</v>
      </c>
      <c r="I50" s="53">
        <v>0</v>
      </c>
      <c r="J50" s="53">
        <v>0</v>
      </c>
      <c r="K50" s="53">
        <f t="shared" ref="K50:K52" si="12">+H50+I50-J50</f>
        <v>0</v>
      </c>
      <c r="L50" s="185">
        <v>0</v>
      </c>
    </row>
    <row r="51" spans="1:12" ht="15.75" customHeight="1" x14ac:dyDescent="0.25">
      <c r="A51" s="17" t="s">
        <v>23</v>
      </c>
      <c r="B51" s="51">
        <v>0</v>
      </c>
      <c r="C51" s="51">
        <v>0</v>
      </c>
      <c r="D51" s="51">
        <v>0</v>
      </c>
      <c r="E51" s="51">
        <v>0</v>
      </c>
      <c r="F51" s="185">
        <v>0</v>
      </c>
      <c r="G51" s="53">
        <f t="shared" si="9"/>
        <v>0</v>
      </c>
      <c r="H51" s="53">
        <v>0</v>
      </c>
      <c r="I51" s="53">
        <v>0</v>
      </c>
      <c r="J51" s="53">
        <v>0</v>
      </c>
      <c r="K51" s="53">
        <f t="shared" si="12"/>
        <v>0</v>
      </c>
      <c r="L51" s="185">
        <v>0</v>
      </c>
    </row>
    <row r="52" spans="1:12" ht="15.75" customHeight="1" x14ac:dyDescent="0.25">
      <c r="A52" s="17" t="s">
        <v>25</v>
      </c>
      <c r="B52" s="51">
        <v>0</v>
      </c>
      <c r="C52" s="51">
        <v>0</v>
      </c>
      <c r="D52" s="51">
        <v>0</v>
      </c>
      <c r="E52" s="51">
        <v>0</v>
      </c>
      <c r="F52" s="185">
        <v>0</v>
      </c>
      <c r="G52" s="53">
        <f t="shared" si="9"/>
        <v>0</v>
      </c>
      <c r="H52" s="53">
        <v>0</v>
      </c>
      <c r="I52" s="53">
        <v>0</v>
      </c>
      <c r="J52" s="53">
        <v>0</v>
      </c>
      <c r="K52" s="53">
        <f t="shared" si="12"/>
        <v>0</v>
      </c>
      <c r="L52" s="185">
        <v>0</v>
      </c>
    </row>
    <row r="53" spans="1:12" ht="15.75" customHeight="1" x14ac:dyDescent="0.25">
      <c r="A53" s="17" t="s">
        <v>90</v>
      </c>
      <c r="B53" s="51">
        <v>0</v>
      </c>
      <c r="C53" s="51">
        <v>0</v>
      </c>
      <c r="D53" s="51">
        <v>0</v>
      </c>
      <c r="E53" s="51">
        <v>0</v>
      </c>
      <c r="F53" s="185">
        <v>0</v>
      </c>
      <c r="G53" s="53">
        <f>C53-E53</f>
        <v>0</v>
      </c>
      <c r="H53" s="53">
        <v>0</v>
      </c>
      <c r="I53" s="53">
        <v>0</v>
      </c>
      <c r="J53" s="53">
        <v>0</v>
      </c>
      <c r="K53" s="53">
        <f>+H53+I53-J53</f>
        <v>0</v>
      </c>
      <c r="L53" s="185">
        <v>0</v>
      </c>
    </row>
    <row r="54" spans="1:12" ht="15.75" customHeight="1" x14ac:dyDescent="0.25">
      <c r="A54" s="17" t="s">
        <v>102</v>
      </c>
      <c r="B54" s="51">
        <v>0</v>
      </c>
      <c r="C54" s="51">
        <v>0</v>
      </c>
      <c r="D54" s="51">
        <v>0</v>
      </c>
      <c r="E54" s="51">
        <v>0</v>
      </c>
      <c r="F54" s="185">
        <v>0</v>
      </c>
      <c r="G54" s="53">
        <f>C54-E54</f>
        <v>0</v>
      </c>
      <c r="H54" s="53">
        <v>0</v>
      </c>
      <c r="I54" s="53">
        <v>0</v>
      </c>
      <c r="J54" s="53">
        <v>0</v>
      </c>
      <c r="K54" s="53">
        <f>+H54+I54-J54</f>
        <v>0</v>
      </c>
      <c r="L54" s="185">
        <v>0</v>
      </c>
    </row>
    <row r="55" spans="1:12" ht="15.75" customHeight="1" x14ac:dyDescent="0.25">
      <c r="A55" s="13" t="s">
        <v>100</v>
      </c>
      <c r="B55" s="52">
        <f>SUM(B56:B57)</f>
        <v>0</v>
      </c>
      <c r="C55" s="52">
        <f>SUM(C56:C57)</f>
        <v>0</v>
      </c>
      <c r="D55" s="52">
        <f>SUM(D56:D57)</f>
        <v>0</v>
      </c>
      <c r="E55" s="52">
        <f>SUM(E56:E57)</f>
        <v>0</v>
      </c>
      <c r="F55" s="184">
        <v>0</v>
      </c>
      <c r="G55" s="54">
        <f t="shared" si="9"/>
        <v>0</v>
      </c>
      <c r="H55" s="52">
        <f>SUM(H56:H57)</f>
        <v>0</v>
      </c>
      <c r="I55" s="52">
        <f t="shared" ref="I55:K55" si="13">SUM(I56:I57)</f>
        <v>0</v>
      </c>
      <c r="J55" s="52">
        <f t="shared" si="13"/>
        <v>0</v>
      </c>
      <c r="K55" s="52">
        <f t="shared" si="13"/>
        <v>0</v>
      </c>
      <c r="L55" s="184">
        <v>0</v>
      </c>
    </row>
    <row r="56" spans="1:12" ht="15.75" customHeight="1" x14ac:dyDescent="0.25">
      <c r="A56" s="17" t="s">
        <v>99</v>
      </c>
      <c r="B56" s="51">
        <v>0</v>
      </c>
      <c r="C56" s="51">
        <v>0</v>
      </c>
      <c r="D56" s="51">
        <v>0</v>
      </c>
      <c r="E56" s="51">
        <v>0</v>
      </c>
      <c r="F56" s="185">
        <v>0</v>
      </c>
      <c r="G56" s="53">
        <f t="shared" si="9"/>
        <v>0</v>
      </c>
      <c r="H56" s="53">
        <v>0</v>
      </c>
      <c r="I56" s="53">
        <v>0</v>
      </c>
      <c r="J56" s="53">
        <v>0</v>
      </c>
      <c r="K56" s="53">
        <f t="shared" ref="K56:K57" si="14">+H56+I56-J56</f>
        <v>0</v>
      </c>
      <c r="L56" s="185">
        <v>0</v>
      </c>
    </row>
    <row r="57" spans="1:12" ht="15.75" customHeight="1" x14ac:dyDescent="0.25">
      <c r="A57" s="17" t="s">
        <v>23</v>
      </c>
      <c r="B57" s="51">
        <v>0</v>
      </c>
      <c r="C57" s="51">
        <v>0</v>
      </c>
      <c r="D57" s="51">
        <v>0</v>
      </c>
      <c r="E57" s="51">
        <v>0</v>
      </c>
      <c r="F57" s="185">
        <v>0</v>
      </c>
      <c r="G57" s="53">
        <f t="shared" si="9"/>
        <v>0</v>
      </c>
      <c r="H57" s="53">
        <v>0</v>
      </c>
      <c r="I57" s="53">
        <v>0</v>
      </c>
      <c r="J57" s="53">
        <v>0</v>
      </c>
      <c r="K57" s="53">
        <f t="shared" si="14"/>
        <v>0</v>
      </c>
      <c r="L57" s="185">
        <v>0</v>
      </c>
    </row>
    <row r="58" spans="1:12" ht="15.75" customHeight="1" x14ac:dyDescent="0.25">
      <c r="A58" s="13" t="s">
        <v>101</v>
      </c>
      <c r="B58" s="52">
        <f>SUM(B59:B61)</f>
        <v>0</v>
      </c>
      <c r="C58" s="52">
        <f>SUM(C59:C61)</f>
        <v>0</v>
      </c>
      <c r="D58" s="52">
        <f>SUM(D59:D61)</f>
        <v>0</v>
      </c>
      <c r="E58" s="52">
        <f t="shared" ref="E58" si="15">SUM(E59:E61)</f>
        <v>0</v>
      </c>
      <c r="F58" s="184">
        <v>0</v>
      </c>
      <c r="G58" s="54">
        <f t="shared" si="9"/>
        <v>0</v>
      </c>
      <c r="H58" s="52">
        <f>SUM(H59:H61)</f>
        <v>3471.94</v>
      </c>
      <c r="I58" s="52">
        <f t="shared" ref="I58:J58" si="16">SUM(I59:I61)</f>
        <v>0</v>
      </c>
      <c r="J58" s="52">
        <f t="shared" si="16"/>
        <v>0</v>
      </c>
      <c r="K58" s="52">
        <f>SUM(K59:K61)</f>
        <v>3471.94</v>
      </c>
      <c r="L58" s="184">
        <v>0</v>
      </c>
    </row>
    <row r="59" spans="1:12" ht="15.75" customHeight="1" x14ac:dyDescent="0.25">
      <c r="A59" s="17" t="s">
        <v>99</v>
      </c>
      <c r="B59" s="51">
        <v>0</v>
      </c>
      <c r="C59" s="51">
        <v>0</v>
      </c>
      <c r="D59" s="51">
        <v>0</v>
      </c>
      <c r="E59" s="51">
        <v>0</v>
      </c>
      <c r="F59" s="185">
        <v>0</v>
      </c>
      <c r="G59" s="53">
        <f t="shared" si="9"/>
        <v>0</v>
      </c>
      <c r="H59" s="53">
        <v>3471.94</v>
      </c>
      <c r="I59" s="53">
        <v>0</v>
      </c>
      <c r="J59" s="53">
        <v>0</v>
      </c>
      <c r="K59" s="53">
        <f>+H59+I59-J59</f>
        <v>3471.94</v>
      </c>
      <c r="L59" s="185">
        <v>0</v>
      </c>
    </row>
    <row r="60" spans="1:12" ht="15.75" customHeight="1" x14ac:dyDescent="0.25">
      <c r="A60" s="17" t="s">
        <v>23</v>
      </c>
      <c r="B60" s="51">
        <v>0</v>
      </c>
      <c r="C60" s="51">
        <v>0</v>
      </c>
      <c r="D60" s="51">
        <v>0</v>
      </c>
      <c r="E60" s="51">
        <v>0</v>
      </c>
      <c r="F60" s="185">
        <v>0</v>
      </c>
      <c r="G60" s="53">
        <f t="shared" si="9"/>
        <v>0</v>
      </c>
      <c r="H60" s="53">
        <v>0</v>
      </c>
      <c r="I60" s="53">
        <v>0</v>
      </c>
      <c r="J60" s="53">
        <v>0</v>
      </c>
      <c r="K60" s="53">
        <f t="shared" ref="K60:K61" si="17">+H60+I60-J60</f>
        <v>0</v>
      </c>
      <c r="L60" s="185">
        <v>0</v>
      </c>
    </row>
    <row r="61" spans="1:12" ht="15.75" customHeight="1" x14ac:dyDescent="0.25">
      <c r="A61" s="17" t="s">
        <v>25</v>
      </c>
      <c r="B61" s="51">
        <v>0</v>
      </c>
      <c r="C61" s="51">
        <v>0</v>
      </c>
      <c r="D61" s="51">
        <v>0</v>
      </c>
      <c r="E61" s="51">
        <v>0</v>
      </c>
      <c r="F61" s="185">
        <v>0</v>
      </c>
      <c r="G61" s="53">
        <f t="shared" si="9"/>
        <v>0</v>
      </c>
      <c r="H61" s="53">
        <v>0</v>
      </c>
      <c r="I61" s="53">
        <v>0</v>
      </c>
      <c r="J61" s="53">
        <v>0</v>
      </c>
      <c r="K61" s="53">
        <f t="shared" si="17"/>
        <v>0</v>
      </c>
      <c r="L61" s="185">
        <v>0</v>
      </c>
    </row>
    <row r="62" spans="1:12" ht="15.75" customHeight="1" x14ac:dyDescent="0.25">
      <c r="A62" s="18" t="s">
        <v>28</v>
      </c>
      <c r="B62" s="52">
        <f>B14+B21+B49+B55+B58</f>
        <v>164742025</v>
      </c>
      <c r="C62" s="52">
        <f>C14+C21+C35+C49+C55+C58</f>
        <v>235359385.91000003</v>
      </c>
      <c r="D62" s="52">
        <f>D14+D21+D35+D49+D55+D58</f>
        <v>9985.6299999999974</v>
      </c>
      <c r="E62" s="52">
        <f>E14+E21+E49+E55+E58</f>
        <v>231740443.83000004</v>
      </c>
      <c r="F62" s="184">
        <f>E62/C62</f>
        <v>0.98462376137663854</v>
      </c>
      <c r="G62" s="52">
        <f>G14+G21+G49+G55+G58</f>
        <v>3618942.0799999833</v>
      </c>
      <c r="H62" s="52">
        <f>H14+H21+H35+H49+H55+H58</f>
        <v>9001907.3000000007</v>
      </c>
      <c r="I62" s="52">
        <f t="shared" ref="I62" si="18">I14+I21+I49+I55+I58</f>
        <v>0</v>
      </c>
      <c r="J62" s="52">
        <f>J14+J21+J49+J55+J58</f>
        <v>5444098.2599999998</v>
      </c>
      <c r="K62" s="52">
        <f>K14+K21+K49+K55+K58</f>
        <v>3557809.04</v>
      </c>
      <c r="L62" s="185">
        <f>E62/B62</f>
        <v>1.4066868719745313</v>
      </c>
    </row>
    <row r="63" spans="1:12" s="176" customFormat="1" ht="15.75" customHeight="1" x14ac:dyDescent="0.2">
      <c r="B63" s="178"/>
      <c r="C63" s="179">
        <v>235362926.40000004</v>
      </c>
      <c r="D63" s="179">
        <v>9985.6299999999992</v>
      </c>
      <c r="E63" s="179">
        <v>231740443.83000001</v>
      </c>
      <c r="G63" s="179">
        <f>C62-E62</f>
        <v>3618942.0799999833</v>
      </c>
      <c r="H63" s="179">
        <v>9001907.3000000007</v>
      </c>
      <c r="I63" s="178">
        <f>H63-H62</f>
        <v>0</v>
      </c>
      <c r="J63" s="179">
        <v>5444098.2599999998</v>
      </c>
      <c r="K63" s="177"/>
    </row>
    <row r="64" spans="1:12" ht="15.75" customHeight="1" x14ac:dyDescent="0.2">
      <c r="C64" s="196" t="s">
        <v>29</v>
      </c>
      <c r="D64" s="196"/>
      <c r="E64" s="196"/>
      <c r="F64" s="196"/>
      <c r="G64" s="196"/>
      <c r="H64" s="196"/>
      <c r="I64" s="196"/>
      <c r="J64" s="80">
        <f>J63-J62</f>
        <v>0</v>
      </c>
    </row>
    <row r="65" spans="1:17" ht="15.75" customHeight="1" x14ac:dyDescent="0.2">
      <c r="C65" s="145">
        <f>C63-C62</f>
        <v>3540.4900000095367</v>
      </c>
      <c r="D65" s="145"/>
      <c r="E65" s="145"/>
      <c r="F65" s="169"/>
      <c r="G65" s="146"/>
      <c r="H65" s="169"/>
      <c r="I65" s="169"/>
    </row>
    <row r="66" spans="1:17" ht="15.75" customHeight="1" x14ac:dyDescent="0.25">
      <c r="B66" s="197" t="s">
        <v>30</v>
      </c>
      <c r="C66" s="197"/>
      <c r="D66" s="198" t="s">
        <v>31</v>
      </c>
      <c r="E66" s="199"/>
      <c r="F66" s="200"/>
      <c r="G66" s="201" t="s">
        <v>32</v>
      </c>
      <c r="H66" s="201"/>
      <c r="I66" s="170" t="s">
        <v>8</v>
      </c>
      <c r="L66" s="176" t="s">
        <v>114</v>
      </c>
      <c r="M66" s="177">
        <f>C63-C62</f>
        <v>3540.4900000095367</v>
      </c>
      <c r="N66" s="177">
        <f>M66-D35</f>
        <v>2945.5700000095367</v>
      </c>
      <c r="O66" s="177">
        <f>N66-D21</f>
        <v>9.537416190141812E-9</v>
      </c>
    </row>
    <row r="67" spans="1:17" ht="15.75" customHeight="1" x14ac:dyDescent="0.25">
      <c r="B67" s="202" t="s">
        <v>33</v>
      </c>
      <c r="C67" s="202"/>
      <c r="D67" s="203"/>
      <c r="E67" s="204"/>
      <c r="F67" s="205"/>
      <c r="G67" s="206"/>
      <c r="H67" s="206"/>
      <c r="I67" s="23"/>
      <c r="L67" s="176"/>
      <c r="M67" s="177">
        <f>E63-E62</f>
        <v>0</v>
      </c>
      <c r="N67" s="178"/>
      <c r="O67" s="178"/>
    </row>
    <row r="68" spans="1:17" ht="15.75" customHeight="1" x14ac:dyDescent="0.25">
      <c r="B68" s="207" t="s">
        <v>34</v>
      </c>
      <c r="C68" s="207"/>
      <c r="D68" s="203">
        <v>113000</v>
      </c>
      <c r="E68" s="204"/>
      <c r="F68" s="205"/>
      <c r="G68" s="206">
        <f>[3]Hoja1!$B$18+[3]Hoja1!$C$18+[3]Hoja1!$D$18+[3]Hoja1!$E$18+[3]Hoja1!$F$18+[3]Hoja1!$G$18+[3]Hoja1!$H$18+[3]Hoja1!$I$18+[3]Hoja1!$J$19+[3]Hoja1!$K$19+[3]Hoja1!$L$19+[3]Hoja1!$M$19</f>
        <v>346950.68</v>
      </c>
      <c r="H68" s="206"/>
      <c r="I68" s="23">
        <f t="shared" ref="I68:I74" si="19">G68/D68</f>
        <v>3.07036</v>
      </c>
    </row>
    <row r="69" spans="1:17" ht="15.75" customHeight="1" x14ac:dyDescent="0.25">
      <c r="B69" s="207" t="s">
        <v>35</v>
      </c>
      <c r="C69" s="207"/>
      <c r="D69" s="203">
        <v>12834042.720000001</v>
      </c>
      <c r="E69" s="204"/>
      <c r="F69" s="205"/>
      <c r="G69" s="206">
        <f>[3]Hoja1!$B$28+[3]Hoja1!$C$28+[3]Hoja1!$D$29+[3]Hoja1!$E$28+[3]Hoja1!$F$28+[3]Hoja1!$G$28+[3]Hoja1!$H$28+[3]Hoja1!$I$28+[3]Hoja1!$J$29+[3]Hoja1!$K$29+[3]Hoja1!$L$29+[3]Hoja1!$M$29</f>
        <v>11982262.060000001</v>
      </c>
      <c r="H69" s="206"/>
      <c r="I69" s="23">
        <f t="shared" si="19"/>
        <v>0.93363114970214156</v>
      </c>
      <c r="M69" s="143"/>
      <c r="N69" s="80"/>
      <c r="O69" s="80"/>
      <c r="P69" s="144"/>
      <c r="Q69" s="80"/>
    </row>
    <row r="70" spans="1:17" ht="15.75" customHeight="1" x14ac:dyDescent="0.25">
      <c r="B70" s="207" t="s">
        <v>103</v>
      </c>
      <c r="C70" s="207"/>
      <c r="D70" s="203">
        <v>432670</v>
      </c>
      <c r="E70" s="204"/>
      <c r="F70" s="205"/>
      <c r="G70" s="206">
        <f>[3]Hoja1!$B$39+[3]Hoja1!$C$39+[3]Hoja1!$D$39+[3]Hoja1!$E$39+[3]Hoja1!$E$39+[3]Hoja1!$F$39+[3]Hoja1!$G$39+[3]Hoja1!$H$39+[3]Hoja1!$I$39+[3]Hoja1!$J$40+[3]Hoja1!$K$40+[3]Hoja1!$M$40</f>
        <v>1195554.31</v>
      </c>
      <c r="H70" s="206"/>
      <c r="I70" s="23">
        <f t="shared" si="19"/>
        <v>2.7632013081563316</v>
      </c>
      <c r="M70" s="56"/>
      <c r="N70" s="80"/>
      <c r="O70" s="80"/>
      <c r="P70" s="56"/>
    </row>
    <row r="71" spans="1:17" ht="15.75" customHeight="1" x14ac:dyDescent="0.25">
      <c r="B71" s="207" t="s">
        <v>104</v>
      </c>
      <c r="C71" s="207"/>
      <c r="D71" s="203">
        <v>144000</v>
      </c>
      <c r="E71" s="204"/>
      <c r="F71" s="205"/>
      <c r="G71" s="206">
        <f>[3]Hoja1!$B$49+[3]Hoja1!$C$49+[3]Hoja1!$D$49+[3]Hoja1!$E$49+[3]Hoja1!$E$49+[3]Hoja1!$F$49+[3]Hoja1!$H$49+[3]Hoja1!$I$49+[3]Hoja1!$J$50+[3]Hoja1!$K$50+[3]Hoja1!$L$50+[3]Hoja1!$M$50</f>
        <v>115294.01</v>
      </c>
      <c r="H71" s="206"/>
      <c r="I71" s="23">
        <f t="shared" si="19"/>
        <v>0.80065284722222219</v>
      </c>
      <c r="N71" s="80"/>
    </row>
    <row r="72" spans="1:17" ht="15.75" customHeight="1" x14ac:dyDescent="0.25">
      <c r="B72" s="207" t="s">
        <v>105</v>
      </c>
      <c r="C72" s="207"/>
      <c r="D72" s="203">
        <v>4620000</v>
      </c>
      <c r="E72" s="204"/>
      <c r="F72" s="205"/>
      <c r="G72" s="206">
        <f>[3]Hoja1!$B$59+[3]Hoja1!$C$60+[3]Hoja1!$D$59+[3]Hoja1!$E$59+[3]Hoja1!$F$59+[3]Hoja1!$G$59+[3]Hoja1!$H$59+[3]Hoja1!$I$59+[3]Hoja1!$J$60+[3]Hoja1!$K$60+[3]Hoja1!$L$60+[3]Hoja1!$M$60</f>
        <v>3080</v>
      </c>
      <c r="H72" s="206"/>
      <c r="I72" s="23">
        <f t="shared" si="19"/>
        <v>6.6666666666666664E-4</v>
      </c>
      <c r="M72" s="80">
        <f>E63-E62</f>
        <v>0</v>
      </c>
    </row>
    <row r="73" spans="1:17" ht="15.75" customHeight="1" x14ac:dyDescent="0.25">
      <c r="B73" s="207" t="s">
        <v>106</v>
      </c>
      <c r="C73" s="207"/>
      <c r="D73" s="203">
        <v>1202890.56</v>
      </c>
      <c r="E73" s="204"/>
      <c r="F73" s="205"/>
      <c r="G73" s="206">
        <f>[3]Hoja1!$B$69+[3]Hoja1!$C$69+[3]Hoja1!$D$70+[3]Hoja1!$E$69+[3]Hoja1!$F$69+[3]Hoja1!$G$49+[3]Hoja1!$G$69+[3]Hoja1!$H$69+[3]Hoja1!$I$69+[3]Hoja1!$J$70+[3]Hoja1!$K$70+[3]Hoja1!$L$70+[3]Hoja1!$M$70</f>
        <v>384972.63</v>
      </c>
      <c r="H73" s="206"/>
      <c r="I73" s="23">
        <f t="shared" si="19"/>
        <v>0.32003961357881133</v>
      </c>
    </row>
    <row r="74" spans="1:17" ht="15.75" customHeight="1" x14ac:dyDescent="0.25">
      <c r="B74" s="207"/>
      <c r="C74" s="207"/>
      <c r="D74" s="203">
        <f>SUM(D68:F73)</f>
        <v>19346603.279999997</v>
      </c>
      <c r="E74" s="204"/>
      <c r="F74" s="205"/>
      <c r="G74" s="206">
        <f>SUM(G68:H73)</f>
        <v>14028113.690000001</v>
      </c>
      <c r="H74" s="206"/>
      <c r="I74" s="23">
        <f t="shared" si="19"/>
        <v>0.72509439962010758</v>
      </c>
    </row>
    <row r="75" spans="1:17" ht="15.75" customHeight="1" x14ac:dyDescent="0.25">
      <c r="B75" s="24"/>
      <c r="C75" s="24"/>
      <c r="D75" s="24"/>
      <c r="E75" s="24"/>
      <c r="F75" s="24"/>
      <c r="G75" s="61"/>
      <c r="H75" s="25"/>
      <c r="I75" s="26"/>
    </row>
    <row r="76" spans="1:17" ht="15.75" customHeight="1" x14ac:dyDescent="0.2"/>
    <row r="77" spans="1:17" s="27" customFormat="1" ht="15.75" customHeight="1" x14ac:dyDescent="0.3">
      <c r="B77" s="208" t="s">
        <v>36</v>
      </c>
      <c r="C77" s="208"/>
      <c r="D77" s="171"/>
      <c r="G77" s="209" t="s">
        <v>37</v>
      </c>
      <c r="H77" s="209"/>
      <c r="J77" s="209" t="s">
        <v>38</v>
      </c>
      <c r="K77" s="209"/>
    </row>
    <row r="78" spans="1:17" s="27" customFormat="1" ht="15.75" customHeight="1" x14ac:dyDescent="0.3">
      <c r="B78" s="171"/>
      <c r="C78" s="171"/>
      <c r="D78" s="171"/>
      <c r="G78" s="62"/>
      <c r="H78" s="172"/>
      <c r="J78" s="172"/>
      <c r="K78" s="172"/>
    </row>
    <row r="79" spans="1:17" s="27" customFormat="1" ht="15.75" customHeight="1" x14ac:dyDescent="0.3">
      <c r="B79" s="221" t="s">
        <v>118</v>
      </c>
      <c r="C79" s="221"/>
      <c r="D79" s="174"/>
      <c r="E79" s="32"/>
      <c r="F79" s="213" t="s">
        <v>119</v>
      </c>
      <c r="G79" s="213"/>
      <c r="H79" s="213"/>
      <c r="I79" s="33"/>
      <c r="J79" s="213" t="s">
        <v>121</v>
      </c>
      <c r="K79" s="213"/>
    </row>
    <row r="80" spans="1:17" s="27" customFormat="1" ht="15.75" customHeight="1" x14ac:dyDescent="0.3">
      <c r="A80" s="30"/>
      <c r="B80" s="212" t="s">
        <v>89</v>
      </c>
      <c r="C80" s="212"/>
      <c r="D80" s="174"/>
      <c r="E80" s="32"/>
      <c r="F80" s="213" t="s">
        <v>120</v>
      </c>
      <c r="G80" s="213"/>
      <c r="H80" s="213"/>
      <c r="I80" s="33"/>
      <c r="J80" s="213" t="s">
        <v>122</v>
      </c>
      <c r="K80" s="213"/>
    </row>
    <row r="81" spans="1:12" s="27" customFormat="1" ht="15.75" customHeight="1" x14ac:dyDescent="0.3">
      <c r="A81" s="30"/>
      <c r="B81" s="214"/>
      <c r="C81" s="214"/>
      <c r="D81" s="175"/>
      <c r="G81" s="214"/>
      <c r="H81" s="214"/>
      <c r="J81" s="214"/>
      <c r="K81" s="214"/>
    </row>
    <row r="82" spans="1:12" ht="15.75" customHeight="1" x14ac:dyDescent="0.2">
      <c r="A82" s="8"/>
      <c r="B82" s="32"/>
      <c r="C82" s="32"/>
      <c r="D82" s="32"/>
      <c r="G82" s="63"/>
      <c r="H82" s="32"/>
      <c r="J82" s="32"/>
      <c r="K82" s="32"/>
    </row>
    <row r="83" spans="1:12" ht="15.75" customHeight="1" x14ac:dyDescent="0.2"/>
    <row r="84" spans="1:12" ht="15.75" customHeight="1" x14ac:dyDescent="0.2">
      <c r="A84" s="35" t="s">
        <v>39</v>
      </c>
      <c r="G84" s="187"/>
    </row>
    <row r="85" spans="1:12" x14ac:dyDescent="0.2">
      <c r="A85" s="35"/>
    </row>
    <row r="86" spans="1:12" x14ac:dyDescent="0.2">
      <c r="A86" s="35"/>
    </row>
    <row r="87" spans="1:12" ht="15.75" customHeight="1" x14ac:dyDescent="0.2">
      <c r="A87" s="35"/>
    </row>
    <row r="88" spans="1:12" ht="15.75" customHeight="1" x14ac:dyDescent="0.25">
      <c r="A88" s="219" t="s">
        <v>0</v>
      </c>
      <c r="B88" s="219"/>
      <c r="C88" s="219"/>
      <c r="D88" s="219"/>
      <c r="E88" s="219"/>
      <c r="F88" s="219"/>
      <c r="G88" s="219"/>
      <c r="H88" s="219"/>
      <c r="I88" s="219"/>
      <c r="J88" s="219"/>
      <c r="K88" s="219"/>
      <c r="L88" s="219"/>
    </row>
    <row r="89" spans="1:12" ht="15.75" customHeight="1" x14ac:dyDescent="0.2">
      <c r="B89" s="9"/>
      <c r="C89" s="9"/>
      <c r="D89" s="9"/>
      <c r="E89" s="9"/>
      <c r="F89" s="9"/>
      <c r="G89" s="59"/>
      <c r="H89" s="9"/>
    </row>
    <row r="90" spans="1:12" s="36" customFormat="1" ht="15.75" customHeight="1" x14ac:dyDescent="0.25">
      <c r="A90" s="189" t="s">
        <v>40</v>
      </c>
      <c r="B90" s="189"/>
      <c r="C90" s="189"/>
      <c r="D90" s="166"/>
      <c r="E90" s="189" t="s">
        <v>41</v>
      </c>
      <c r="F90" s="189"/>
      <c r="G90" s="189"/>
      <c r="H90" s="189"/>
      <c r="I90" s="189"/>
      <c r="J90" s="189"/>
      <c r="K90" s="189"/>
      <c r="L90" s="189"/>
    </row>
    <row r="91" spans="1:12" ht="15.75" customHeight="1" x14ac:dyDescent="0.2">
      <c r="A91" s="32"/>
      <c r="B91" s="32"/>
      <c r="C91" s="37"/>
      <c r="D91" s="37"/>
      <c r="F91" s="32"/>
      <c r="G91" s="63"/>
      <c r="H91" s="32"/>
    </row>
    <row r="92" spans="1:12" ht="15.75" customHeight="1" x14ac:dyDescent="0.2">
      <c r="A92" s="38" t="s">
        <v>42</v>
      </c>
      <c r="B92" s="39"/>
      <c r="C92" s="39"/>
      <c r="D92" s="39"/>
      <c r="E92" s="211" t="s">
        <v>43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173"/>
      <c r="B93" s="173"/>
      <c r="C93" s="173"/>
      <c r="D93" s="173"/>
      <c r="E93" s="173"/>
      <c r="F93" s="42"/>
      <c r="G93" s="64"/>
      <c r="H93" s="40"/>
      <c r="I93" s="40"/>
      <c r="J93" s="40"/>
      <c r="K93" s="40"/>
      <c r="L93" s="40"/>
    </row>
    <row r="94" spans="1:12" ht="15.75" customHeight="1" x14ac:dyDescent="0.2">
      <c r="A94" s="210" t="s">
        <v>44</v>
      </c>
      <c r="B94" s="210"/>
      <c r="C94" s="39"/>
      <c r="D94" s="39"/>
      <c r="E94" s="211" t="s">
        <v>45</v>
      </c>
      <c r="F94" s="211"/>
      <c r="G94" s="211"/>
      <c r="H94" s="211"/>
      <c r="I94" s="211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x14ac:dyDescent="0.2">
      <c r="A96" s="44" t="s">
        <v>46</v>
      </c>
      <c r="B96" s="43"/>
      <c r="C96" s="40"/>
      <c r="D96" s="40"/>
      <c r="E96" s="1" t="s">
        <v>47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15.75" customHeight="1" x14ac:dyDescent="0.2">
      <c r="A98" s="43" t="s">
        <v>48</v>
      </c>
      <c r="B98" s="43"/>
      <c r="C98" s="40"/>
      <c r="D98" s="40"/>
      <c r="E98" s="40" t="s">
        <v>49</v>
      </c>
      <c r="F98" s="40"/>
      <c r="G98" s="48"/>
      <c r="H98" s="40"/>
      <c r="I98" s="40"/>
      <c r="J98" s="40"/>
      <c r="K98" s="40"/>
      <c r="L98" s="40"/>
    </row>
    <row r="99" spans="1:12" ht="5.0999999999999996" customHeight="1" x14ac:dyDescent="0.2">
      <c r="A99" s="43"/>
      <c r="B99" s="43"/>
      <c r="C99" s="40"/>
      <c r="D99" s="40"/>
      <c r="E99" s="40"/>
      <c r="F99" s="40"/>
      <c r="G99" s="48"/>
      <c r="H99" s="40"/>
      <c r="I99" s="40"/>
      <c r="J99" s="40"/>
      <c r="K99" s="40"/>
      <c r="L99" s="40"/>
    </row>
    <row r="100" spans="1:12" ht="33.75" customHeight="1" x14ac:dyDescent="0.2">
      <c r="A100" s="43" t="s">
        <v>50</v>
      </c>
      <c r="B100" s="43"/>
      <c r="C100" s="40"/>
      <c r="D100" s="40"/>
      <c r="E100" s="216" t="s">
        <v>51</v>
      </c>
      <c r="F100" s="216"/>
      <c r="G100" s="216"/>
      <c r="H100" s="216"/>
      <c r="I100" s="216"/>
      <c r="J100" s="216"/>
      <c r="K100" s="216"/>
      <c r="L100" s="216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30" customHeight="1" x14ac:dyDescent="0.2">
      <c r="A102" s="43" t="s">
        <v>52</v>
      </c>
      <c r="B102" s="43"/>
      <c r="C102" s="40"/>
      <c r="D102" s="40"/>
      <c r="E102" s="217" t="s">
        <v>53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5"/>
      <c r="F103" s="40"/>
      <c r="G103" s="48"/>
      <c r="H103" s="40"/>
      <c r="I103" s="40"/>
      <c r="J103" s="40"/>
      <c r="K103" s="40"/>
      <c r="L103" s="40"/>
    </row>
    <row r="104" spans="1:12" ht="45" customHeight="1" x14ac:dyDescent="0.2">
      <c r="A104" s="46" t="s">
        <v>54</v>
      </c>
      <c r="B104" s="46"/>
      <c r="C104" s="45"/>
      <c r="D104" s="45"/>
      <c r="E104" s="217" t="s">
        <v>55</v>
      </c>
      <c r="F104" s="217"/>
      <c r="G104" s="217"/>
      <c r="H104" s="217"/>
      <c r="I104" s="217"/>
      <c r="J104" s="217"/>
      <c r="K104" s="217"/>
      <c r="L104" s="217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56</v>
      </c>
      <c r="B106" s="43"/>
      <c r="C106" s="40"/>
      <c r="D106" s="40"/>
      <c r="E106" s="216" t="s">
        <v>57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3"/>
      <c r="B107" s="43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49.5" customHeight="1" x14ac:dyDescent="0.2">
      <c r="A108" s="43" t="s">
        <v>58</v>
      </c>
      <c r="B108" s="43"/>
      <c r="C108" s="40"/>
      <c r="D108" s="40"/>
      <c r="E108" s="216" t="s">
        <v>59</v>
      </c>
      <c r="F108" s="216"/>
      <c r="G108" s="216"/>
      <c r="H108" s="216"/>
      <c r="I108" s="216"/>
      <c r="J108" s="216"/>
      <c r="K108" s="216"/>
      <c r="L108" s="216"/>
    </row>
    <row r="109" spans="1:12" ht="5.0999999999999996" customHeight="1" x14ac:dyDescent="0.2">
      <c r="A109" s="42"/>
      <c r="B109" s="42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30.75" customHeight="1" x14ac:dyDescent="0.2">
      <c r="A110" s="43" t="s">
        <v>60</v>
      </c>
      <c r="B110" s="43"/>
      <c r="C110" s="40"/>
      <c r="D110" s="40"/>
      <c r="E110" s="216" t="s">
        <v>61</v>
      </c>
      <c r="F110" s="218"/>
      <c r="G110" s="218"/>
      <c r="H110" s="218"/>
      <c r="I110" s="218"/>
      <c r="J110" s="218"/>
      <c r="K110" s="218"/>
      <c r="L110" s="218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ht="15.75" customHeight="1" x14ac:dyDescent="0.2">
      <c r="A112" s="43" t="s">
        <v>62</v>
      </c>
      <c r="B112" s="43"/>
      <c r="C112" s="40"/>
      <c r="D112" s="40"/>
      <c r="E112" s="40" t="s">
        <v>63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x14ac:dyDescent="0.2">
      <c r="A114" s="43" t="s">
        <v>64</v>
      </c>
      <c r="B114" s="43"/>
      <c r="C114" s="40"/>
      <c r="D114" s="40"/>
      <c r="E114" s="40" t="s">
        <v>65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7" t="s">
        <v>66</v>
      </c>
      <c r="B116" s="43"/>
      <c r="C116" s="40"/>
      <c r="D116" s="40"/>
      <c r="E116" s="48" t="s">
        <v>67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68</v>
      </c>
      <c r="B118" s="43"/>
      <c r="C118" s="40"/>
      <c r="D118" s="40"/>
      <c r="E118" s="40" t="s">
        <v>69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3" t="s">
        <v>70</v>
      </c>
      <c r="B120" s="43"/>
      <c r="C120" s="40"/>
      <c r="D120" s="40"/>
      <c r="E120" s="40" t="s">
        <v>71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15.75" customHeight="1" x14ac:dyDescent="0.2">
      <c r="A122" s="47" t="s">
        <v>72</v>
      </c>
      <c r="B122" s="43"/>
      <c r="C122" s="40"/>
      <c r="D122" s="40"/>
      <c r="E122" s="48" t="s">
        <v>73</v>
      </c>
      <c r="F122" s="40"/>
      <c r="G122" s="48"/>
      <c r="H122" s="40"/>
      <c r="I122" s="40"/>
      <c r="J122" s="40"/>
      <c r="K122" s="40"/>
      <c r="L122" s="40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37.5" customHeight="1" x14ac:dyDescent="0.2">
      <c r="A124" s="47" t="s">
        <v>74</v>
      </c>
      <c r="B124" s="43"/>
      <c r="C124" s="40"/>
      <c r="D124" s="40"/>
      <c r="E124" s="216" t="s">
        <v>75</v>
      </c>
      <c r="F124" s="218"/>
      <c r="G124" s="218"/>
      <c r="H124" s="218"/>
      <c r="I124" s="218"/>
      <c r="J124" s="218"/>
      <c r="K124" s="218"/>
      <c r="L124" s="218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76</v>
      </c>
      <c r="B126" s="43"/>
      <c r="C126" s="40"/>
      <c r="D126" s="40"/>
      <c r="E126" s="40" t="s">
        <v>77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78</v>
      </c>
      <c r="B128" s="43"/>
      <c r="C128" s="40"/>
      <c r="D128" s="40"/>
      <c r="E128" s="40" t="s">
        <v>79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 t="s">
        <v>80</v>
      </c>
      <c r="B130" s="43"/>
      <c r="C130" s="40"/>
      <c r="D130" s="40"/>
      <c r="E130" s="40" t="s">
        <v>81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3"/>
      <c r="B132" s="43"/>
      <c r="C132" s="40"/>
      <c r="D132" s="40"/>
      <c r="E132" s="40" t="s">
        <v>82</v>
      </c>
      <c r="F132" s="40"/>
      <c r="G132" s="48"/>
      <c r="H132" s="40"/>
      <c r="I132" s="40"/>
      <c r="J132" s="40"/>
      <c r="K132" s="40"/>
      <c r="L132" s="40"/>
    </row>
    <row r="133" spans="1:20" ht="5.0999999999999996" customHeight="1" x14ac:dyDescent="0.2">
      <c r="A133" s="43"/>
      <c r="B133" s="43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ht="15.75" customHeight="1" x14ac:dyDescent="0.2">
      <c r="A134" s="46" t="s">
        <v>14</v>
      </c>
      <c r="B134" s="43"/>
      <c r="C134" s="40"/>
      <c r="D134" s="40"/>
      <c r="E134" s="40" t="s">
        <v>83</v>
      </c>
      <c r="F134" s="40"/>
      <c r="G134" s="48"/>
      <c r="H134" s="40"/>
      <c r="I134" s="40"/>
      <c r="J134" s="40"/>
      <c r="K134" s="40"/>
      <c r="L134" s="40"/>
    </row>
    <row r="135" spans="1:20" x14ac:dyDescent="0.2">
      <c r="A135" s="40"/>
      <c r="B135" s="40"/>
      <c r="C135" s="40"/>
      <c r="D135" s="40"/>
      <c r="E135" s="40"/>
      <c r="F135" s="40"/>
      <c r="G135" s="48"/>
      <c r="H135" s="40"/>
      <c r="I135" s="40"/>
      <c r="J135" s="40"/>
      <c r="K135" s="40"/>
      <c r="L135" s="40"/>
    </row>
    <row r="136" spans="1:20" x14ac:dyDescent="0.2">
      <c r="A136" s="44" t="s">
        <v>36</v>
      </c>
      <c r="B136" s="40"/>
      <c r="C136" s="40"/>
      <c r="D136" s="40"/>
      <c r="E136" s="215" t="s">
        <v>84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4"/>
      <c r="B137" s="40"/>
      <c r="C137" s="40"/>
      <c r="D137" s="40"/>
      <c r="E137" s="21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  <c r="P137" s="215"/>
      <c r="Q137" s="215"/>
      <c r="R137" s="215"/>
      <c r="S137" s="215"/>
      <c r="T137" s="215"/>
    </row>
    <row r="138" spans="1:20" x14ac:dyDescent="0.2">
      <c r="A138" s="44" t="s">
        <v>85</v>
      </c>
      <c r="B138" s="37"/>
      <c r="C138" s="37"/>
      <c r="D138" s="37"/>
      <c r="E138" s="215" t="s">
        <v>86</v>
      </c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  <c r="P138" s="215"/>
      <c r="Q138" s="215"/>
      <c r="R138" s="215"/>
      <c r="S138" s="215"/>
      <c r="T138" s="215"/>
    </row>
    <row r="139" spans="1:20" x14ac:dyDescent="0.2">
      <c r="A139" s="49"/>
      <c r="B139" s="37"/>
      <c r="C139" s="37"/>
      <c r="D139" s="37"/>
      <c r="E139" s="49"/>
      <c r="F139" s="49"/>
      <c r="G139" s="65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</row>
    <row r="140" spans="1:20" x14ac:dyDescent="0.2">
      <c r="A140" s="44" t="s">
        <v>38</v>
      </c>
      <c r="B140" s="37"/>
      <c r="C140" s="37"/>
      <c r="D140" s="37"/>
      <c r="E140" s="49" t="s">
        <v>87</v>
      </c>
      <c r="F140" s="49"/>
      <c r="G140" s="65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  <row r="147" spans="1:12" x14ac:dyDescent="0.2">
      <c r="A147" s="37"/>
      <c r="B147" s="37"/>
      <c r="C147" s="37"/>
      <c r="D147" s="37"/>
      <c r="E147" s="37"/>
      <c r="F147" s="37"/>
      <c r="G147" s="66"/>
      <c r="H147" s="37"/>
      <c r="I147" s="37"/>
      <c r="J147" s="37"/>
      <c r="K147" s="37"/>
      <c r="L147" s="37"/>
    </row>
    <row r="148" spans="1:12" x14ac:dyDescent="0.2">
      <c r="A148" s="37"/>
      <c r="B148" s="37"/>
      <c r="C148" s="37"/>
      <c r="D148" s="37"/>
      <c r="E148" s="37"/>
      <c r="F148" s="37"/>
      <c r="G148" s="66"/>
      <c r="H148" s="37"/>
      <c r="I148" s="37"/>
      <c r="J148" s="37"/>
      <c r="K148" s="37"/>
      <c r="L148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4:I64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B70:C70"/>
    <mergeCell ref="D70:F70"/>
    <mergeCell ref="G70:H70"/>
    <mergeCell ref="B71:C71"/>
    <mergeCell ref="D71:F71"/>
    <mergeCell ref="G71:H71"/>
    <mergeCell ref="J77:K77"/>
    <mergeCell ref="B72:C72"/>
    <mergeCell ref="D72:F72"/>
    <mergeCell ref="G72:H72"/>
    <mergeCell ref="B73:C73"/>
    <mergeCell ref="D73:F73"/>
    <mergeCell ref="G73:H73"/>
    <mergeCell ref="B74:C74"/>
    <mergeCell ref="D74:F74"/>
    <mergeCell ref="G74:H74"/>
    <mergeCell ref="B77:C77"/>
    <mergeCell ref="G77:H77"/>
    <mergeCell ref="B79:C79"/>
    <mergeCell ref="F79:H79"/>
    <mergeCell ref="J79:K79"/>
    <mergeCell ref="B80:C80"/>
    <mergeCell ref="F80:H80"/>
    <mergeCell ref="J80:K80"/>
    <mergeCell ref="E104:L104"/>
    <mergeCell ref="B81:C81"/>
    <mergeCell ref="G81:H81"/>
    <mergeCell ref="J81:K81"/>
    <mergeCell ref="A88:L88"/>
    <mergeCell ref="A90:C90"/>
    <mergeCell ref="E90:L90"/>
    <mergeCell ref="E92:I92"/>
    <mergeCell ref="A94:B94"/>
    <mergeCell ref="E94:I94"/>
    <mergeCell ref="E100:L100"/>
    <mergeCell ref="E102:L102"/>
    <mergeCell ref="E138:T138"/>
    <mergeCell ref="E106:L106"/>
    <mergeCell ref="E108:L108"/>
    <mergeCell ref="E110:L110"/>
    <mergeCell ref="E124:L124"/>
    <mergeCell ref="E136:T136"/>
    <mergeCell ref="E137:T137"/>
  </mergeCells>
  <pageMargins left="0.51" right="0.46" top="0.39370078740157483" bottom="0.43307086614173229" header="0" footer="0"/>
  <pageSetup scale="66" fitToHeight="0" orientation="landscape" r:id="rId1"/>
  <headerFooter alignWithMargins="0">
    <oddFooter>&amp;R</oddFooter>
  </headerFooter>
  <rowBreaks count="1" manualBreakCount="1">
    <brk id="8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41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69"/>
      <c r="B6" s="69"/>
      <c r="C6" s="69"/>
      <c r="D6" s="69"/>
      <c r="E6" s="69"/>
      <c r="F6" s="69"/>
      <c r="G6" s="7"/>
      <c r="H6" s="69"/>
      <c r="I6" s="69"/>
      <c r="J6" s="69"/>
      <c r="K6" s="69"/>
      <c r="L6" s="69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75"/>
      <c r="B8" s="75"/>
      <c r="C8" s="75"/>
      <c r="D8" s="75"/>
      <c r="E8" s="75"/>
      <c r="F8" s="75"/>
      <c r="G8" s="58"/>
      <c r="H8" s="75"/>
      <c r="I8" s="75"/>
      <c r="J8" s="75"/>
      <c r="K8" s="75"/>
      <c r="L8" s="75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69"/>
      <c r="E9" s="69"/>
      <c r="F9" s="69"/>
      <c r="G9" s="7"/>
      <c r="H9" s="69"/>
      <c r="I9" s="69"/>
      <c r="J9" s="69"/>
      <c r="K9" s="69"/>
      <c r="L9" s="69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76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36600078.359999999</v>
      </c>
      <c r="D14" s="55">
        <f>SUM(D15:D20)</f>
        <v>1739.62</v>
      </c>
      <c r="E14" s="19">
        <f>SUM(E15:E20)</f>
        <v>0</v>
      </c>
      <c r="F14" s="50">
        <f>E14/C14</f>
        <v>0</v>
      </c>
      <c r="G14" s="54">
        <f>C14-E14</f>
        <v>36600078.359999999</v>
      </c>
      <c r="H14" s="19">
        <f>SUM(H15:H20)</f>
        <v>28131418.379999999</v>
      </c>
      <c r="I14" s="19">
        <f>SUM(I15:I20)</f>
        <v>0</v>
      </c>
      <c r="J14" s="19">
        <f t="shared" ref="J14" si="0">SUM(J15:J20)</f>
        <v>167238.38</v>
      </c>
      <c r="K14" s="20">
        <f>+H14+I14-J14</f>
        <v>27964180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</f>
        <v>33643022.25</v>
      </c>
      <c r="D15" s="51">
        <v>0</v>
      </c>
      <c r="E15" s="51">
        <f>[2]REPO!$G$206+[2]REPO!$H$206</f>
        <v>0</v>
      </c>
      <c r="F15" s="15">
        <f>E15/C15</f>
        <v>0</v>
      </c>
      <c r="G15" s="53">
        <f>C15-E15</f>
        <v>33643022.25</v>
      </c>
      <c r="H15" s="16">
        <v>28131418.379999999</v>
      </c>
      <c r="I15" s="16">
        <v>0</v>
      </c>
      <c r="J15" s="16">
        <f>[3]Hoja1!$B$3+[3]Hoja1!$C$3</f>
        <v>167238.38</v>
      </c>
      <c r="K15" s="16">
        <f>+H15+I15-J15</f>
        <v>27964180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</f>
        <v>984446.49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984446.49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MENSUAL'!$F$39+'[1]AI MENSUAL'!$G$39</f>
        <v>1970870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1970870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MENSUAL'!$F$35+'[1]AI MENSUAL'!$G$35</f>
        <v>1739.62</v>
      </c>
      <c r="D18" s="51">
        <f>'[1]AI MENSUAL'!$F$35+'[1]AI MENSUAL'!$G$35</f>
        <v>1739.62</v>
      </c>
      <c r="E18" s="14">
        <v>0</v>
      </c>
      <c r="F18" s="15">
        <f t="shared" si="2"/>
        <v>0</v>
      </c>
      <c r="G18" s="53">
        <f t="shared" si="4"/>
        <v>1739.62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18954862.910000004</v>
      </c>
      <c r="D21" s="55">
        <f>SUM(D22:D32)</f>
        <v>45.899999999999991</v>
      </c>
      <c r="E21" s="19">
        <f>SUM(E22:E32)</f>
        <v>7136721.0900000008</v>
      </c>
      <c r="F21" s="50">
        <f>E21/C21</f>
        <v>0.37651135351840953</v>
      </c>
      <c r="G21" s="54">
        <f>C21-E21</f>
        <v>11818141.820000004</v>
      </c>
      <c r="H21" s="19">
        <f>SUM(H22:H32)</f>
        <v>12119132.24</v>
      </c>
      <c r="I21" s="19">
        <f t="shared" ref="I21:K21" si="5">SUM(I22:I32)</f>
        <v>0</v>
      </c>
      <c r="J21" s="19">
        <f t="shared" si="5"/>
        <v>645597.07999999996</v>
      </c>
      <c r="K21" s="19">
        <f t="shared" si="5"/>
        <v>11473535.159999998</v>
      </c>
      <c r="L21" s="50">
        <f>E21/B21</f>
        <v>9.0568282790990828E-2</v>
      </c>
      <c r="M21" s="1">
        <v>40250550.619999997</v>
      </c>
      <c r="N21" s="101">
        <f>M21-H21</f>
        <v>28131418.379999995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MENSUAL'!$F$52+'[1]AI MENSUAL'!$G$52</f>
        <v>8018092.9500000002</v>
      </c>
      <c r="D22" s="51">
        <f>'[1]AI MENSUAL'!$F$53+'[1]AI MENSUAL'!$G$53</f>
        <v>38.92</v>
      </c>
      <c r="E22" s="14">
        <f>[4]FGP!$T$27+[5]FGP!$H$27</f>
        <v>3487244.99</v>
      </c>
      <c r="F22" s="15">
        <f>E22/C22</f>
        <v>0.43492199600903853</v>
      </c>
      <c r="G22" s="53">
        <f>C22-E22</f>
        <v>4530847.96</v>
      </c>
      <c r="H22" s="16">
        <v>4738399.79</v>
      </c>
      <c r="I22" s="16">
        <v>0</v>
      </c>
      <c r="J22" s="16">
        <f>[3]Hoja1!$B$4+[3]Hoja1!$C$4</f>
        <v>459886.32999999996</v>
      </c>
      <c r="K22" s="16">
        <f>+H22+I22-J22</f>
        <v>4278513.46</v>
      </c>
      <c r="L22" s="15">
        <f>E22/B22</f>
        <v>0.12140184281804327</v>
      </c>
      <c r="M22" s="79">
        <f>[3]Hoja1!$B$9+432486.12</f>
        <v>812835.46</v>
      </c>
      <c r="N22" s="101">
        <f>M22-J21</f>
        <v>167238.38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MENSUAL'!$F$101+'[1]AI MENSUAL'!$G$101</f>
        <v>1488414.8</v>
      </c>
      <c r="D23" s="51">
        <f>'[1]AI MENSUAL'!$F$102+'[1]AI MENSUAL'!$G$102</f>
        <v>0.21</v>
      </c>
      <c r="E23" s="14">
        <f>[4]FISM!$T$55+[5]FISM!$H$55</f>
        <v>0</v>
      </c>
      <c r="F23" s="15">
        <f t="shared" ref="F23:F29" si="6">E23/C23</f>
        <v>0</v>
      </c>
      <c r="G23" s="53">
        <f t="shared" ref="G23:G31" si="7">C23-E23</f>
        <v>1488414.8</v>
      </c>
      <c r="H23" s="16">
        <v>1488415.01</v>
      </c>
      <c r="I23" s="16">
        <v>0</v>
      </c>
      <c r="J23" s="16">
        <v>0</v>
      </c>
      <c r="K23" s="16">
        <f t="shared" si="3"/>
        <v>1488415.01</v>
      </c>
      <c r="L23" s="15">
        <f t="shared" si="1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MENSUAL'!$F$104+'[1]AI MENSUAL'!$G$104</f>
        <v>4608232.5199999996</v>
      </c>
      <c r="D24" s="51">
        <f>'[1]AI MENSUAL'!$F$105+'[1]AI MENSUAL'!$G$105</f>
        <v>0</v>
      </c>
      <c r="E24" s="14">
        <f>[5]FORTAMUN!$G$32+[5]FORTAMUN!$H$32</f>
        <v>2225762.3499999996</v>
      </c>
      <c r="F24" s="15">
        <f t="shared" si="6"/>
        <v>0.4829969712552612</v>
      </c>
      <c r="G24" s="53">
        <f>C24-E24</f>
        <v>2382470.17</v>
      </c>
      <c r="H24" s="16">
        <v>2473859.84</v>
      </c>
      <c r="I24" s="16">
        <v>0</v>
      </c>
      <c r="J24" s="16">
        <f>[3]Hoja1!$B$5+[3]Hoja1!$C$5</f>
        <v>182031.97</v>
      </c>
      <c r="K24" s="16">
        <f t="shared" si="3"/>
        <v>2291827.8699999996</v>
      </c>
      <c r="L24" s="15">
        <f t="shared" si="1"/>
        <v>8.312217014602083E-2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MENSUAL'!$F$77+'[1]AI MENSUAL'!$G$77</f>
        <v>245767.22999999998</v>
      </c>
      <c r="D25" s="51">
        <f>'[1]AI MENSUAL'!$F$78+'[1]AI MENSUAL'!$G$78</f>
        <v>0.66</v>
      </c>
      <c r="E25" s="14">
        <f>[4]FFR!$T$25+[5]FFR!$H$25</f>
        <v>37606.07</v>
      </c>
      <c r="F25" s="15">
        <f t="shared" si="6"/>
        <v>0.15301498902030186</v>
      </c>
      <c r="G25" s="53">
        <f t="shared" si="7"/>
        <v>208161.15999999997</v>
      </c>
      <c r="H25" s="16">
        <v>210208.08</v>
      </c>
      <c r="I25" s="16">
        <v>0</v>
      </c>
      <c r="J25" s="16">
        <f>[3]Hoja1!$B$6+[3]Hoja1!$C$6</f>
        <v>3678.7799999999997</v>
      </c>
      <c r="K25" s="16">
        <f t="shared" si="3"/>
        <v>206529.3</v>
      </c>
      <c r="L25" s="15">
        <f t="shared" si="1"/>
        <v>3.2367489006728083E-2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MENSUAL'!$F$48+'[1]AI MENSUAL'!$G$48</f>
        <v>2504875.92</v>
      </c>
      <c r="D26" s="51">
        <f>'[1]AI MENSUAL'!$F$49+'[1]AI MENSUAL'!$G$49</f>
        <v>0.3</v>
      </c>
      <c r="E26" s="14">
        <f>[4]FFM!$G$21+[5]FFM!$H$21</f>
        <v>1022745.33</v>
      </c>
      <c r="F26" s="15">
        <f t="shared" si="6"/>
        <v>0.40830179324810628</v>
      </c>
      <c r="G26" s="53">
        <f t="shared" si="7"/>
        <v>1482130.5899999999</v>
      </c>
      <c r="H26" s="16">
        <v>1482130.89</v>
      </c>
      <c r="I26" s="16">
        <v>0</v>
      </c>
      <c r="J26" s="16">
        <v>0</v>
      </c>
      <c r="K26" s="16">
        <f t="shared" si="3"/>
        <v>1482130.89</v>
      </c>
      <c r="L26" s="15">
        <f t="shared" si="1"/>
        <v>8.3254487520805567E-2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MENSUAL'!$F$62+'[1]AI MENSUAL'!$G$62</f>
        <v>254679.32</v>
      </c>
      <c r="D27" s="51">
        <f>'[1]AI MENSUAL'!$F$63+'[1]AI MENSUAL'!$G$63</f>
        <v>0.66</v>
      </c>
      <c r="E27" s="14">
        <f>'[4]IEPS TAB'!$G$11+'[5]IEPS TAB'!$H$11</f>
        <v>84791.6</v>
      </c>
      <c r="F27" s="15">
        <f t="shared" si="6"/>
        <v>0.33293476674902384</v>
      </c>
      <c r="G27" s="53">
        <f t="shared" si="7"/>
        <v>169887.72</v>
      </c>
      <c r="H27" s="16">
        <v>169887.72</v>
      </c>
      <c r="I27" s="16">
        <v>0</v>
      </c>
      <c r="J27" s="16">
        <v>0</v>
      </c>
      <c r="K27" s="16">
        <f t="shared" si="3"/>
        <v>169887.72</v>
      </c>
      <c r="L27" s="15">
        <f t="shared" si="1"/>
        <v>0.13265891703302721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MENSUAL'!$F$58+'[1]AI MENSUAL'!$G$58</f>
        <v>255784.44</v>
      </c>
      <c r="D28" s="51">
        <f>'[1]AI MENSUAL'!$F$59+'[1]AI MENSUAL'!$G$59</f>
        <v>0.57999999999999996</v>
      </c>
      <c r="E28" s="14">
        <f>'[4]IEPS GAS'!$G$11+'[5]IEPS GAS'!$H$11</f>
        <v>229532.65</v>
      </c>
      <c r="F28" s="15">
        <f t="shared" si="6"/>
        <v>0.89736752556175814</v>
      </c>
      <c r="G28" s="53">
        <f t="shared" si="7"/>
        <v>26251.790000000008</v>
      </c>
      <c r="H28" s="16">
        <v>26252.86</v>
      </c>
      <c r="I28" s="16">
        <v>0</v>
      </c>
      <c r="J28" s="16">
        <v>0</v>
      </c>
      <c r="K28" s="16">
        <f t="shared" si="3"/>
        <v>26252.86</v>
      </c>
      <c r="L28" s="15">
        <f t="shared" si="1"/>
        <v>0.17321650114706591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MENSUAL'!$F$70+'[1]AI MENSUAL'!$G$70</f>
        <v>15911.6</v>
      </c>
      <c r="D29" s="51">
        <f>'[1]AI MENSUAL'!$F$71+'[1]AI MENSUAL'!$G$71</f>
        <v>0.01</v>
      </c>
      <c r="E29" s="14">
        <f>[4]CISAN!$G$11+[5]CISAN!$H$11</f>
        <v>7944.2</v>
      </c>
      <c r="F29" s="15">
        <f t="shared" si="6"/>
        <v>0.49927097212096833</v>
      </c>
      <c r="G29" s="53">
        <f t="shared" si="7"/>
        <v>7967.4000000000005</v>
      </c>
      <c r="H29" s="16">
        <v>7967.43</v>
      </c>
      <c r="I29" s="16">
        <v>0</v>
      </c>
      <c r="J29" s="16">
        <v>0</v>
      </c>
      <c r="K29" s="16">
        <f t="shared" si="3"/>
        <v>7967.43</v>
      </c>
      <c r="L29" s="15">
        <f t="shared" si="1"/>
        <v>0.15853522251047694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MENSUAL'!$F$67+'[1]AI MENSUAL'!$G$67</f>
        <v>82279.13</v>
      </c>
      <c r="D30" s="51">
        <f>'[1]AI MENSUAL'!$F$68+'[1]AI MENSUAL'!$G$68</f>
        <v>0.03</v>
      </c>
      <c r="E30" s="14">
        <f>[4]ISAN!$G$11+[5]ISAN!$H$11</f>
        <v>41093.9</v>
      </c>
      <c r="F30" s="15">
        <f>E30/C30</f>
        <v>0.49944499899306177</v>
      </c>
      <c r="G30" s="53">
        <f>C30-E30</f>
        <v>41185.230000000003</v>
      </c>
      <c r="H30" s="16">
        <v>41185.26</v>
      </c>
      <c r="I30" s="16">
        <v>0</v>
      </c>
      <c r="J30" s="16">
        <v>0</v>
      </c>
      <c r="K30" s="16">
        <f t="shared" si="3"/>
        <v>41185.26</v>
      </c>
      <c r="L30" s="15">
        <f>E30/B30</f>
        <v>0.18079226041469607</v>
      </c>
    </row>
    <row r="31" spans="1:14" ht="15.75" customHeight="1" x14ac:dyDescent="0.25">
      <c r="A31" s="17" t="s">
        <v>95</v>
      </c>
      <c r="B31" s="78">
        <v>0</v>
      </c>
      <c r="C31" s="51">
        <f>'[1]AI MENSUAL'!$F$95+'[1]AI MENSUAL'!$G$95</f>
        <v>0</v>
      </c>
      <c r="D31" s="51">
        <f>'[1]AI MENSUAL'!$F$96+'[1]AI MENSUAL'!$G$96</f>
        <v>0</v>
      </c>
      <c r="E31" s="14">
        <f>[4]PRODDER!$T$12+[5]PRODDER!$U$12</f>
        <v>0</v>
      </c>
      <c r="F31" s="15">
        <v>0</v>
      </c>
      <c r="G31" s="53">
        <f t="shared" si="7"/>
        <v>0</v>
      </c>
      <c r="H31" s="16">
        <v>0</v>
      </c>
      <c r="I31" s="16">
        <v>0</v>
      </c>
      <c r="J31" s="16">
        <v>0</v>
      </c>
      <c r="K31" s="16">
        <f t="shared" si="3"/>
        <v>0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MENSUAL'!$F$89+'[1]AI MENSUAL'!$G$89</f>
        <v>1480825</v>
      </c>
      <c r="D32" s="51">
        <f>'[1]AI MENSUAL'!$F$90+'[1]AI MENSUAL'!$G$90</f>
        <v>4.53</v>
      </c>
      <c r="E32" s="14">
        <f>[4]ISR!$T$47+[5]ISR!$H$47</f>
        <v>0</v>
      </c>
      <c r="F32" s="15">
        <f>E32/C32</f>
        <v>0</v>
      </c>
      <c r="G32" s="53">
        <f>C32-E32</f>
        <v>1480825</v>
      </c>
      <c r="H32" s="16">
        <v>1480825.36</v>
      </c>
      <c r="I32" s="16">
        <v>0</v>
      </c>
      <c r="J32" s="16">
        <v>0</v>
      </c>
      <c r="K32" s="16">
        <f t="shared" si="3"/>
        <v>1480825.36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461.33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7321884.9000000013</v>
      </c>
      <c r="I33" s="19">
        <f>SUM(I34:I46)</f>
        <v>0</v>
      </c>
      <c r="J33" s="19">
        <f>SUM(J34:J46)</f>
        <v>0</v>
      </c>
      <c r="K33" s="19">
        <f>SUM(K34:K46)</f>
        <v>7321884.9000000013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2939149.91</v>
      </c>
      <c r="I34" s="16">
        <v>0</v>
      </c>
      <c r="J34" s="16">
        <v>0</v>
      </c>
      <c r="K34" s="16">
        <f>+H34+I34-J34</f>
        <v>2939149.91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</f>
        <v>55.72</v>
      </c>
      <c r="E35" s="14">
        <v>0</v>
      </c>
      <c r="F35" s="15">
        <v>0</v>
      </c>
      <c r="G35" s="53">
        <f>C35-E35</f>
        <v>0</v>
      </c>
      <c r="H35" s="16">
        <v>1288547.45</v>
      </c>
      <c r="I35" s="16">
        <v>0</v>
      </c>
      <c r="J35" s="16">
        <v>0</v>
      </c>
      <c r="K35" s="16">
        <f>+H35+I35-J35</f>
        <v>1288547.45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</f>
        <v>341.54</v>
      </c>
      <c r="E36" s="14">
        <v>0</v>
      </c>
      <c r="F36" s="15">
        <v>0</v>
      </c>
      <c r="G36" s="53">
        <f t="shared" ref="G36:G59" si="8">C36-E36</f>
        <v>0</v>
      </c>
      <c r="H36" s="16">
        <v>3014773.71</v>
      </c>
      <c r="I36" s="16">
        <v>0</v>
      </c>
      <c r="J36" s="16">
        <v>0</v>
      </c>
      <c r="K36" s="16">
        <f t="shared" ref="K36:K44" si="9">+H36+I36-J36</f>
        <v>3014773.71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</f>
        <v>39.989999999999995</v>
      </c>
      <c r="E37" s="14">
        <v>0</v>
      </c>
      <c r="F37" s="15">
        <v>0</v>
      </c>
      <c r="G37" s="53">
        <f t="shared" si="8"/>
        <v>0</v>
      </c>
      <c r="H37" s="16">
        <v>39.99</v>
      </c>
      <c r="I37" s="16">
        <v>0</v>
      </c>
      <c r="J37" s="16">
        <v>0</v>
      </c>
      <c r="K37" s="16">
        <f t="shared" si="9"/>
        <v>39.99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</f>
        <v>12.45</v>
      </c>
      <c r="E39" s="14">
        <v>0</v>
      </c>
      <c r="F39" s="15">
        <v>0</v>
      </c>
      <c r="G39" s="53">
        <f t="shared" si="8"/>
        <v>0</v>
      </c>
      <c r="H39" s="16">
        <v>12.45</v>
      </c>
      <c r="I39" s="16">
        <v>0</v>
      </c>
      <c r="J39" s="16">
        <v>0</v>
      </c>
      <c r="K39" s="16">
        <f t="shared" si="9"/>
        <v>12.45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</f>
        <v>0.2</v>
      </c>
      <c r="E40" s="14">
        <v>0</v>
      </c>
      <c r="F40" s="15">
        <v>0</v>
      </c>
      <c r="G40" s="53">
        <f t="shared" si="8"/>
        <v>0</v>
      </c>
      <c r="H40" s="16">
        <v>0.86</v>
      </c>
      <c r="I40" s="16">
        <v>0</v>
      </c>
      <c r="J40" s="16">
        <v>0</v>
      </c>
      <c r="K40" s="16">
        <f t="shared" si="9"/>
        <v>0.86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</f>
        <v>0.66</v>
      </c>
      <c r="E43" s="14">
        <v>0</v>
      </c>
      <c r="F43" s="15">
        <v>0</v>
      </c>
      <c r="G43" s="53">
        <f t="shared" si="8"/>
        <v>0</v>
      </c>
      <c r="H43" s="16">
        <v>0.66</v>
      </c>
      <c r="I43" s="16">
        <v>0</v>
      </c>
      <c r="J43" s="16">
        <v>0</v>
      </c>
      <c r="K43" s="16">
        <f t="shared" si="9"/>
        <v>0.66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</f>
        <v>0.32</v>
      </c>
      <c r="E44" s="14">
        <v>0</v>
      </c>
      <c r="F44" s="15">
        <v>0</v>
      </c>
      <c r="G44" s="53">
        <f t="shared" si="8"/>
        <v>0</v>
      </c>
      <c r="H44" s="16">
        <v>77956.38</v>
      </c>
      <c r="I44" s="16">
        <v>0</v>
      </c>
      <c r="J44" s="16">
        <v>0</v>
      </c>
      <c r="K44" s="16">
        <f t="shared" si="9"/>
        <v>77956.38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</f>
        <v>3.42</v>
      </c>
      <c r="E45" s="14">
        <v>0</v>
      </c>
      <c r="F45" s="15">
        <v>0</v>
      </c>
      <c r="G45" s="53">
        <f t="shared" si="8"/>
        <v>0</v>
      </c>
      <c r="H45" s="16">
        <v>1399.59</v>
      </c>
      <c r="I45" s="16">
        <v>0</v>
      </c>
      <c r="J45" s="16">
        <v>0</v>
      </c>
      <c r="K45" s="16">
        <f>+H45+I45-J45</f>
        <v>1399.59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3.9</v>
      </c>
      <c r="I46" s="16">
        <v>0</v>
      </c>
      <c r="J46" s="16">
        <v>0</v>
      </c>
      <c r="K46" s="16">
        <f>+H46+I46-J46</f>
        <v>3.9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3687.42</v>
      </c>
      <c r="I47" s="19">
        <f t="shared" ref="I47:J47" si="10">SUM(I48:I52)</f>
        <v>0</v>
      </c>
      <c r="J47" s="19">
        <f t="shared" si="10"/>
        <v>0</v>
      </c>
      <c r="K47" s="19">
        <f>SUM(K48:K52)</f>
        <v>3687.42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4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4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4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4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3687.42</v>
      </c>
      <c r="I52" s="16">
        <v>0</v>
      </c>
      <c r="J52" s="16">
        <v>0</v>
      </c>
      <c r="K52" s="16">
        <f>+H52+I52-J52</f>
        <v>3687.42</v>
      </c>
      <c r="L52" s="15">
        <v>0</v>
      </c>
    </row>
    <row r="53" spans="1:14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2581227.06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2581227.06</v>
      </c>
      <c r="L53" s="50">
        <v>0</v>
      </c>
    </row>
    <row r="54" spans="1:14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2581227.06</v>
      </c>
      <c r="I54" s="16">
        <v>0</v>
      </c>
      <c r="J54" s="16">
        <v>0</v>
      </c>
      <c r="K54" s="16">
        <f t="shared" ref="K54:K55" si="13">+H54+I54-J54</f>
        <v>2581227.06</v>
      </c>
      <c r="L54" s="15">
        <v>0</v>
      </c>
    </row>
    <row r="55" spans="1:14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4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3456.82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3456.82</v>
      </c>
      <c r="L56" s="50">
        <v>0</v>
      </c>
    </row>
    <row r="57" spans="1:14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3456.82</v>
      </c>
      <c r="I57" s="16">
        <v>0</v>
      </c>
      <c r="J57" s="16">
        <v>0</v>
      </c>
      <c r="K57" s="16">
        <f>+H57+I57-J57</f>
        <v>3456.82</v>
      </c>
      <c r="L57" s="15">
        <v>0</v>
      </c>
    </row>
    <row r="58" spans="1:14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4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4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55554941.270000003</v>
      </c>
      <c r="D60" s="55">
        <f>D14+D21+D33+D47+D53+D56</f>
        <v>2246.85</v>
      </c>
      <c r="E60" s="55">
        <f>E14+E21+E47+E53+E56</f>
        <v>7136721.0900000008</v>
      </c>
      <c r="F60" s="50">
        <f>E60/C60</f>
        <v>0.12846240004674206</v>
      </c>
      <c r="G60" s="55">
        <f>G14+G21+G47+G53+G56</f>
        <v>48418220.180000007</v>
      </c>
      <c r="H60" s="55">
        <f>H14+H21+H33+H47+H53+H56</f>
        <v>50160806.82</v>
      </c>
      <c r="I60" s="19">
        <f t="shared" ref="I60" si="17">I14+I21+I47+I53+I56</f>
        <v>0</v>
      </c>
      <c r="J60" s="55">
        <f>J14+J21+J47+J53+J56</f>
        <v>812835.46</v>
      </c>
      <c r="K60" s="19">
        <f>K14+K21+K47+K53+K56</f>
        <v>42026086.460000001</v>
      </c>
      <c r="L60" s="15">
        <f>E60/B60</f>
        <v>4.332058617101496E-2</v>
      </c>
    </row>
    <row r="61" spans="1:14" ht="15.75" customHeight="1" x14ac:dyDescent="0.2">
      <c r="B61" s="80"/>
      <c r="C61" s="79">
        <f>'[1]AI MENSUAL'!$F$6+'[1]AI MENSUAL'!$G$6</f>
        <v>55555448.5</v>
      </c>
      <c r="D61" s="79">
        <f>'[1]AI MENSUAL'!$F$145+'[1]AI MENSUAL'!$G$145</f>
        <v>0</v>
      </c>
      <c r="E61" s="79">
        <f>[2]GLOBAL!$G$443+[2]GLOBAL!$H$443</f>
        <v>0</v>
      </c>
      <c r="G61" s="79">
        <f>C60-E60</f>
        <v>48418220.18</v>
      </c>
      <c r="H61" s="79">
        <v>50160806.82</v>
      </c>
      <c r="I61" s="80"/>
      <c r="J61" s="79">
        <f>[3]Hoja1!$B$9+432486.12</f>
        <v>812835.46</v>
      </c>
      <c r="K61" s="56"/>
    </row>
    <row r="62" spans="1:14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4" ht="15.75" customHeight="1" x14ac:dyDescent="0.2">
      <c r="C63" s="73"/>
      <c r="D63" s="73"/>
      <c r="E63" s="73"/>
      <c r="F63" s="73"/>
      <c r="G63" s="60"/>
      <c r="H63" s="73"/>
      <c r="I63" s="73"/>
    </row>
    <row r="64" spans="1:14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74" t="s">
        <v>8</v>
      </c>
      <c r="L64" s="1" t="s">
        <v>114</v>
      </c>
      <c r="M64" s="56">
        <f>C61-C60</f>
        <v>507.22999999672174</v>
      </c>
      <c r="N64" s="56">
        <f>M64-D33</f>
        <v>45.89999999672176</v>
      </c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L65" s="56"/>
      <c r="M65" s="80"/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</f>
        <v>20303</v>
      </c>
      <c r="H66" s="206"/>
      <c r="I66" s="23">
        <f t="shared" ref="I66:I72" si="18">G66/D66</f>
        <v>0.17967256637168141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</f>
        <v>0</v>
      </c>
      <c r="H67" s="206"/>
      <c r="I67" s="23">
        <f t="shared" si="18"/>
        <v>0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</f>
        <v>251110.1</v>
      </c>
      <c r="H68" s="206"/>
      <c r="I68" s="23">
        <f t="shared" si="18"/>
        <v>0.58037326368826125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</f>
        <v>0</v>
      </c>
      <c r="H69" s="206"/>
      <c r="I69" s="23">
        <f t="shared" si="18"/>
        <v>0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</f>
        <v>3246.84</v>
      </c>
      <c r="H71" s="206"/>
      <c r="I71" s="23">
        <f t="shared" si="18"/>
        <v>2.699198171444624E-3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274659.94</v>
      </c>
      <c r="H72" s="206"/>
      <c r="I72" s="23">
        <f t="shared" si="18"/>
        <v>1.4196804267131281E-2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72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72"/>
      <c r="C76" s="72"/>
      <c r="D76" s="72"/>
      <c r="G76" s="62"/>
      <c r="H76" s="67"/>
      <c r="J76" s="67"/>
      <c r="K76" s="67"/>
    </row>
    <row r="77" spans="1:15" s="27" customFormat="1" ht="15.75" customHeight="1" x14ac:dyDescent="0.3">
      <c r="B77" s="212" t="s">
        <v>109</v>
      </c>
      <c r="C77" s="212"/>
      <c r="D77" s="68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68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71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69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70"/>
      <c r="B91" s="70"/>
      <c r="C91" s="70"/>
      <c r="D91" s="70"/>
      <c r="E91" s="70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E136:T136"/>
    <mergeCell ref="E104:L104"/>
    <mergeCell ref="E106:L106"/>
    <mergeCell ref="E108:L108"/>
    <mergeCell ref="E122:L122"/>
    <mergeCell ref="E134:T134"/>
    <mergeCell ref="E135:T135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B77:C77"/>
    <mergeCell ref="F77:H77"/>
    <mergeCell ref="J77:K77"/>
    <mergeCell ref="B78:C78"/>
    <mergeCell ref="F78:H78"/>
    <mergeCell ref="J78:K78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68:C68"/>
    <mergeCell ref="D68:F68"/>
    <mergeCell ref="G68:H68"/>
    <mergeCell ref="B69:C69"/>
    <mergeCell ref="D69:F69"/>
    <mergeCell ref="G69:H69"/>
    <mergeCell ref="B66:C66"/>
    <mergeCell ref="D66:F66"/>
    <mergeCell ref="G66:H66"/>
    <mergeCell ref="B67:C67"/>
    <mergeCell ref="D67:F67"/>
    <mergeCell ref="G67:H67"/>
    <mergeCell ref="C62:I62"/>
    <mergeCell ref="B64:C64"/>
    <mergeCell ref="D64:F64"/>
    <mergeCell ref="G64:H64"/>
    <mergeCell ref="B65:C65"/>
    <mergeCell ref="D65:F65"/>
    <mergeCell ref="G65:H65"/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50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83"/>
      <c r="B6" s="83"/>
      <c r="C6" s="83"/>
      <c r="D6" s="83"/>
      <c r="E6" s="83"/>
      <c r="F6" s="83"/>
      <c r="G6" s="7"/>
      <c r="H6" s="83"/>
      <c r="I6" s="83"/>
      <c r="J6" s="83"/>
      <c r="K6" s="83"/>
      <c r="L6" s="83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89"/>
      <c r="B8" s="89"/>
      <c r="C8" s="89"/>
      <c r="D8" s="89"/>
      <c r="E8" s="89"/>
      <c r="F8" s="89"/>
      <c r="G8" s="58"/>
      <c r="H8" s="89"/>
      <c r="I8" s="89"/>
      <c r="J8" s="89"/>
      <c r="K8" s="89"/>
      <c r="L8" s="89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83"/>
      <c r="E9" s="83"/>
      <c r="F9" s="83"/>
      <c r="G9" s="7"/>
      <c r="H9" s="83"/>
      <c r="I9" s="83"/>
      <c r="J9" s="83"/>
      <c r="K9" s="83"/>
      <c r="L9" s="83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90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67715918.530000016</v>
      </c>
      <c r="D14" s="55">
        <f>SUM(D15:D20)</f>
        <v>2782.26</v>
      </c>
      <c r="E14" s="19">
        <f>SUM(E15:E20)</f>
        <v>0</v>
      </c>
      <c r="F14" s="50">
        <f>E14/C14</f>
        <v>0</v>
      </c>
      <c r="G14" s="54">
        <f>C14-E14</f>
        <v>67715918.530000016</v>
      </c>
      <c r="H14" s="19">
        <f>SUM(H15:H20)</f>
        <v>47513621.210000001</v>
      </c>
      <c r="I14" s="19">
        <f>SUM(I15:I20)</f>
        <v>0</v>
      </c>
      <c r="J14" s="19">
        <f t="shared" ref="J14" si="0">SUM(J15:J20)</f>
        <v>278161.66000000003</v>
      </c>
      <c r="K14" s="20">
        <f>+H14+I14-J14</f>
        <v>47235459.550000004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</f>
        <v>62218813.480000004</v>
      </c>
      <c r="D15" s="51">
        <v>0</v>
      </c>
      <c r="E15" s="51">
        <f>[2]REPO!$G$206+[2]REPO!$H$206+[2]REPO!$I$206</f>
        <v>0</v>
      </c>
      <c r="F15" s="15">
        <f>E15/C15</f>
        <v>0</v>
      </c>
      <c r="G15" s="53">
        <f>C15-E15</f>
        <v>62218813.480000004</v>
      </c>
      <c r="H15" s="16">
        <v>47513621.210000001</v>
      </c>
      <c r="I15" s="16">
        <v>0</v>
      </c>
      <c r="J15" s="16">
        <f>[3]Hoja1!$B$3+[3]Hoja1!$C$3+[3]Hoja1!$D$3</f>
        <v>278161.66000000003</v>
      </c>
      <c r="K15" s="16">
        <f>+H15+I15-J15</f>
        <v>47235459.550000004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</f>
        <v>3180039.79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3180039.79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MENSUAL'!$F$39+'[1]AI MENSUAL'!$G$39+'[1]AI MENSUAL'!$H$39</f>
        <v>2314283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2314283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MENSUAL'!$F$35+'[1]AI MENSUAL'!$G$35+'[1]AI MENSUAL'!$H$35</f>
        <v>2782.26</v>
      </c>
      <c r="D18" s="51">
        <f>'[1]AI MENSUAL'!$F$35+'[1]AI MENSUAL'!$G$35+'[1]AI MENSUAL'!$H$35</f>
        <v>2782.26</v>
      </c>
      <c r="E18" s="14">
        <v>0</v>
      </c>
      <c r="F18" s="15">
        <f t="shared" si="2"/>
        <v>0</v>
      </c>
      <c r="G18" s="53">
        <f t="shared" si="4"/>
        <v>2782.26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26727586.220000003</v>
      </c>
      <c r="D21" s="55">
        <f>SUM(D22:D32)</f>
        <v>119.74000000000001</v>
      </c>
      <c r="E21" s="19">
        <f>SUM(E22:E32)</f>
        <v>12623190</v>
      </c>
      <c r="F21" s="50">
        <f>E21/C21</f>
        <v>0.47229068484134884</v>
      </c>
      <c r="G21" s="54">
        <f>C21-E21</f>
        <v>14104396.220000003</v>
      </c>
      <c r="H21" s="19">
        <f>SUM(H22:H32)</f>
        <v>14470220.800000001</v>
      </c>
      <c r="I21" s="19">
        <f t="shared" ref="I21:K21" si="5">SUM(I22:I32)</f>
        <v>0</v>
      </c>
      <c r="J21" s="19">
        <f t="shared" si="5"/>
        <v>1223934.6399999999</v>
      </c>
      <c r="K21" s="19">
        <f t="shared" si="5"/>
        <v>13246286.16</v>
      </c>
      <c r="L21" s="50">
        <f>E21/B21</f>
        <v>0.16019410415889007</v>
      </c>
      <c r="M21" s="1">
        <v>61983842.009999998</v>
      </c>
      <c r="N21" s="101">
        <f>M21-H21</f>
        <v>47513621.209999993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MENSUAL'!$F$52+'[1]AI MENSUAL'!$G$52+'[1]AI MENSUAL'!$H$52</f>
        <v>10920088.58</v>
      </c>
      <c r="D22" s="51">
        <f>'[1]AI MENSUAL'!$F$53+'[1]AI MENSUAL'!$G$53+'[1]AI MENSUAL'!$H$53</f>
        <v>78.349999999999994</v>
      </c>
      <c r="E22" s="14">
        <f>[4]FGP!$T$27+[5]FGP!$H$27+[5]FGP!$I$27</f>
        <v>5692128.54</v>
      </c>
      <c r="F22" s="15">
        <f>E22/C22</f>
        <v>0.52125296404875865</v>
      </c>
      <c r="G22" s="53">
        <f>C22-E22</f>
        <v>5227960.04</v>
      </c>
      <c r="H22" s="16">
        <v>5499306.3899999997</v>
      </c>
      <c r="I22" s="16">
        <v>0</v>
      </c>
      <c r="J22" s="16">
        <f>[3]Hoja1!$B$4+[3]Hoja1!$C$4+[3]Hoja1!$D$4</f>
        <v>944258.16999999993</v>
      </c>
      <c r="K22" s="16">
        <f>+H22+I22-J22</f>
        <v>4555048.22</v>
      </c>
      <c r="L22" s="15">
        <f>E22/B22</f>
        <v>0.19816069599204675</v>
      </c>
      <c r="M22" s="79">
        <f>[3]Hoja1!$B$9+432486.12+[3]Hoja1!$D$8</f>
        <v>1502096.2999999998</v>
      </c>
      <c r="N22" s="101">
        <f>M22-J21</f>
        <v>278161.65999999992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MENSUAL'!$F$101+'[1]AI MENSUAL'!$G$101+'[1]AI MENSUAL'!$H$101</f>
        <v>2232622.2000000002</v>
      </c>
      <c r="D23" s="51">
        <f>'[1]AI MENSUAL'!$F$102+'[1]AI MENSUAL'!$G$102+'[1]AI MENSUAL'!$H$102</f>
        <v>6.62</v>
      </c>
      <c r="E23" s="14">
        <f>[4]FISM!$T$55+[5]FISM!$H$55+[5]FISM!$I$55</f>
        <v>0</v>
      </c>
      <c r="F23" s="15">
        <f t="shared" ref="F23:F29" si="6">E23/C23</f>
        <v>0</v>
      </c>
      <c r="G23" s="53">
        <f t="shared" ref="G23:G31" si="7">C23-E23</f>
        <v>2232622.2000000002</v>
      </c>
      <c r="H23" s="16">
        <v>2233031.09</v>
      </c>
      <c r="I23" s="16">
        <v>0</v>
      </c>
      <c r="J23" s="16">
        <v>0</v>
      </c>
      <c r="K23" s="16">
        <f t="shared" si="3"/>
        <v>2233031.09</v>
      </c>
      <c r="L23" s="15">
        <f t="shared" si="1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MENSUAL'!$F$104+'[1]AI MENSUAL'!$G$104+'[1]AI MENSUAL'!$H$104</f>
        <v>6912348.7799999993</v>
      </c>
      <c r="D24" s="51">
        <f>'[1]AI MENSUAL'!$F$105+'[1]AI MENSUAL'!$G$105+'[1]AI MENSUAL'!$H$105</f>
        <v>0</v>
      </c>
      <c r="E24" s="14">
        <f>[5]FORTAMUN!$G$32+[5]FORTAMUN!$H$32+[5]FORTAMUN!$I$32</f>
        <v>4159671.8499999996</v>
      </c>
      <c r="F24" s="15">
        <f t="shared" si="6"/>
        <v>0.60177401088838001</v>
      </c>
      <c r="G24" s="53">
        <f>C24-E24</f>
        <v>2752676.9299999997</v>
      </c>
      <c r="H24" s="16">
        <v>2844643.02</v>
      </c>
      <c r="I24" s="16">
        <v>0</v>
      </c>
      <c r="J24" s="16">
        <f>[3]Hoja1!$B$5+[3]Hoja1!$C$5+[3]Hoja1!$D$5</f>
        <v>273957.95</v>
      </c>
      <c r="K24" s="16">
        <f t="shared" si="3"/>
        <v>2570685.0699999998</v>
      </c>
      <c r="L24" s="15">
        <f t="shared" si="1"/>
        <v>0.15534495462523806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MENSUAL'!$F$77+'[1]AI MENSUAL'!$G$77+'[1]AI MENSUAL'!$H$77</f>
        <v>330602.95999999996</v>
      </c>
      <c r="D25" s="51">
        <f>'[1]AI MENSUAL'!$F$78+'[1]AI MENSUAL'!$G$78+'[1]AI MENSUAL'!$H$78</f>
        <v>1.9100000000000001</v>
      </c>
      <c r="E25" s="14">
        <f>[4]FFR!$T$25+[5]FFR!$H$25+[5]FFR!$I$25</f>
        <v>58735.85</v>
      </c>
      <c r="F25" s="15">
        <f t="shared" si="6"/>
        <v>0.17766280737474344</v>
      </c>
      <c r="G25" s="53">
        <f t="shared" si="7"/>
        <v>271867.11</v>
      </c>
      <c r="H25" s="16">
        <v>273915.28000000003</v>
      </c>
      <c r="I25" s="16">
        <v>0</v>
      </c>
      <c r="J25" s="16">
        <f>[3]Hoja1!$B$6+[3]Hoja1!$C$6+[3]Hoja1!$D$6</f>
        <v>5718.5199999999995</v>
      </c>
      <c r="K25" s="16">
        <f t="shared" si="3"/>
        <v>268196.76</v>
      </c>
      <c r="L25" s="15">
        <f t="shared" si="1"/>
        <v>5.0553859501294061E-2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MENSUAL'!$F$48+'[1]AI MENSUAL'!$G$48+'[1]AI MENSUAL'!$H$48</f>
        <v>3559074.23</v>
      </c>
      <c r="D26" s="51">
        <f>'[1]AI MENSUAL'!$F$49+'[1]AI MENSUAL'!$G$49+'[1]AI MENSUAL'!$H$49</f>
        <v>5.26</v>
      </c>
      <c r="E26" s="14">
        <f>[4]FFM!$G$21+[5]FFM!$H$21+[5]FFM!$I$21</f>
        <v>1936054.93</v>
      </c>
      <c r="F26" s="15">
        <f t="shared" si="6"/>
        <v>0.54397711452059261</v>
      </c>
      <c r="G26" s="53">
        <f t="shared" si="7"/>
        <v>1623019.3</v>
      </c>
      <c r="H26" s="16">
        <v>1623041.24</v>
      </c>
      <c r="I26" s="16">
        <v>0</v>
      </c>
      <c r="J26" s="16">
        <v>0</v>
      </c>
      <c r="K26" s="16">
        <f t="shared" si="3"/>
        <v>1623041.24</v>
      </c>
      <c r="L26" s="15">
        <f t="shared" si="1"/>
        <v>0.15760058372427779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MENSUAL'!$F$62+'[1]AI MENSUAL'!$G$62+'[1]AI MENSUAL'!$H$62</f>
        <v>336234.41000000003</v>
      </c>
      <c r="D27" s="51">
        <f>'[1]AI MENSUAL'!$F$63+'[1]AI MENSUAL'!$G$63+'[1]AI MENSUAL'!$H$63</f>
        <v>0.79</v>
      </c>
      <c r="E27" s="14">
        <f>'[4]IEPS TAB'!$G$11+'[5]IEPS TAB'!$H$11+'[5]IEPS TAB'!$I$11</f>
        <v>251845.5</v>
      </c>
      <c r="F27" s="15">
        <f t="shared" si="6"/>
        <v>0.74901762731541954</v>
      </c>
      <c r="G27" s="53">
        <f t="shared" si="7"/>
        <v>84388.910000000033</v>
      </c>
      <c r="H27" s="16">
        <v>84389.9</v>
      </c>
      <c r="I27" s="16">
        <v>0</v>
      </c>
      <c r="J27" s="16">
        <v>0</v>
      </c>
      <c r="K27" s="16">
        <f t="shared" si="3"/>
        <v>84389.9</v>
      </c>
      <c r="L27" s="15">
        <f t="shared" si="1"/>
        <v>0.3940195879030618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MENSUAL'!$F$58+'[1]AI MENSUAL'!$G$58+'[1]AI MENSUAL'!$H$58</f>
        <v>383664.6</v>
      </c>
      <c r="D28" s="51">
        <f>'[1]AI MENSUAL'!$F$59+'[1]AI MENSUAL'!$G$59+'[1]AI MENSUAL'!$H$59</f>
        <v>1.0899999999999999</v>
      </c>
      <c r="E28" s="14">
        <f>'[4]IEPS GAS'!$G$11+'[5]IEPS GAS'!$H$11+'[5]IEPS GAS'!$I$11</f>
        <v>355838.19</v>
      </c>
      <c r="F28" s="15">
        <f t="shared" si="6"/>
        <v>0.92747204198667277</v>
      </c>
      <c r="G28" s="53">
        <f t="shared" si="7"/>
        <v>27826.409999999974</v>
      </c>
      <c r="H28" s="16">
        <v>27827.99</v>
      </c>
      <c r="I28" s="16">
        <v>0</v>
      </c>
      <c r="J28" s="16">
        <v>0</v>
      </c>
      <c r="K28" s="16">
        <f t="shared" si="3"/>
        <v>27827.99</v>
      </c>
      <c r="L28" s="15">
        <f t="shared" si="1"/>
        <v>0.26853280457618933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MENSUAL'!$F$70+'[1]AI MENSUAL'!$G$70+'[1]AI MENSUAL'!$H$70</f>
        <v>23867.4</v>
      </c>
      <c r="D29" s="51">
        <f>'[1]AI MENSUAL'!$F$71+'[1]AI MENSUAL'!$G$71+'[1]AI MENSUAL'!$H$71</f>
        <v>0.03</v>
      </c>
      <c r="E29" s="14">
        <f>[4]CISAN!$G$11+[5]CISAN!$H$11+[5]CISAN!$I$11</f>
        <v>21126.23</v>
      </c>
      <c r="F29" s="15">
        <f t="shared" si="6"/>
        <v>0.88515003728935693</v>
      </c>
      <c r="G29" s="53">
        <f t="shared" si="7"/>
        <v>2741.1700000000019</v>
      </c>
      <c r="H29" s="16">
        <v>2741.22</v>
      </c>
      <c r="I29" s="16">
        <v>0</v>
      </c>
      <c r="J29" s="16">
        <v>0</v>
      </c>
      <c r="K29" s="16">
        <f t="shared" si="3"/>
        <v>2741.22</v>
      </c>
      <c r="L29" s="15">
        <f t="shared" si="1"/>
        <v>0.42159708640989824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MENSUAL'!$F$67+'[1]AI MENSUAL'!$G$67+'[1]AI MENSUAL'!$H$67</f>
        <v>173672.06</v>
      </c>
      <c r="D30" s="51">
        <f>'[1]AI MENSUAL'!$F$68+'[1]AI MENSUAL'!$G$68+'[1]AI MENSUAL'!$H$68</f>
        <v>0.08</v>
      </c>
      <c r="E30" s="14">
        <f>[4]ISAN!$G$11+[5]ISAN!$H$11+[5]ISAN!$I$11</f>
        <v>82160.91</v>
      </c>
      <c r="F30" s="15">
        <f>E30/C30</f>
        <v>0.47308075921941622</v>
      </c>
      <c r="G30" s="53">
        <f>C30-E30</f>
        <v>91511.15</v>
      </c>
      <c r="H30" s="16">
        <v>91511.99</v>
      </c>
      <c r="I30" s="16">
        <v>0</v>
      </c>
      <c r="J30" s="16">
        <v>0</v>
      </c>
      <c r="K30" s="16">
        <f t="shared" si="3"/>
        <v>91511.99</v>
      </c>
      <c r="L30" s="15">
        <f>E30/B30</f>
        <v>0.36146621850514082</v>
      </c>
    </row>
    <row r="31" spans="1:14" ht="15.75" customHeight="1" x14ac:dyDescent="0.25">
      <c r="A31" s="17" t="s">
        <v>95</v>
      </c>
      <c r="B31" s="78">
        <v>0</v>
      </c>
      <c r="C31" s="51">
        <f>'[1]AI MENSUAL'!$F$95+'[1]AI MENSUAL'!$G$95+'[1]AI MENSUAL'!$H$95</f>
        <v>0</v>
      </c>
      <c r="D31" s="51">
        <f>'[1]AI MENSUAL'!$F$96+'[1]AI MENSUAL'!$G$96+'[1]AI MENSUAL'!$H$96</f>
        <v>0</v>
      </c>
      <c r="E31" s="14">
        <f>[4]PRODDER!$T$12+[5]PRODDER!$U$12+[5]PRODDER!$V$12</f>
        <v>0</v>
      </c>
      <c r="F31" s="15">
        <v>0</v>
      </c>
      <c r="G31" s="53">
        <f t="shared" si="7"/>
        <v>0</v>
      </c>
      <c r="H31" s="16">
        <v>0.64</v>
      </c>
      <c r="I31" s="16">
        <v>0</v>
      </c>
      <c r="J31" s="16">
        <v>0</v>
      </c>
      <c r="K31" s="16">
        <f t="shared" si="3"/>
        <v>0.64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MENSUAL'!$F$89+'[1]AI MENSUAL'!$G$89+'[1]AI MENSUAL'!$H$89</f>
        <v>1855411</v>
      </c>
      <c r="D32" s="51">
        <f>'[1]AI MENSUAL'!$F$90+'[1]AI MENSUAL'!$G$90+'[1]AI MENSUAL'!$H$90</f>
        <v>25.61</v>
      </c>
      <c r="E32" s="14">
        <f>[4]ISR!$T$47+[5]ISR!$H$47+[5]ISR!$I$47</f>
        <v>65628</v>
      </c>
      <c r="F32" s="15">
        <f>E32/C32</f>
        <v>3.5371138793507208E-2</v>
      </c>
      <c r="G32" s="53">
        <f>C32-E32</f>
        <v>1789783</v>
      </c>
      <c r="H32" s="16">
        <v>1789812.04</v>
      </c>
      <c r="I32" s="16">
        <v>0</v>
      </c>
      <c r="J32" s="16">
        <v>0</v>
      </c>
      <c r="K32" s="16">
        <f t="shared" si="3"/>
        <v>1789812.04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549.04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285970.76</v>
      </c>
      <c r="I33" s="19">
        <f>SUM(I34:I46)</f>
        <v>0</v>
      </c>
      <c r="J33" s="19">
        <f>SUM(J34:J46)</f>
        <v>0</v>
      </c>
      <c r="K33" s="19">
        <f>SUM(K34:K46)</f>
        <v>285970.76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72788.94</v>
      </c>
      <c r="I34" s="16">
        <v>0</v>
      </c>
      <c r="J34" s="16">
        <v>0</v>
      </c>
      <c r="K34" s="16">
        <f>+H34+I34-J34</f>
        <v>72788.94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</f>
        <v>77.98</v>
      </c>
      <c r="E35" s="14">
        <v>0</v>
      </c>
      <c r="F35" s="15">
        <v>0</v>
      </c>
      <c r="G35" s="53">
        <f>C35-E35</f>
        <v>0</v>
      </c>
      <c r="H35" s="16">
        <v>213181.82</v>
      </c>
      <c r="I35" s="16">
        <v>0</v>
      </c>
      <c r="J35" s="16">
        <v>0</v>
      </c>
      <c r="K35" s="16">
        <f>+H35+I35-J35</f>
        <v>213181.82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4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4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4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4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4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2581268.65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2581268.65</v>
      </c>
      <c r="L53" s="50">
        <v>0</v>
      </c>
    </row>
    <row r="54" spans="1:14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2581268.65</v>
      </c>
      <c r="I54" s="16">
        <v>0</v>
      </c>
      <c r="J54" s="16">
        <v>0</v>
      </c>
      <c r="K54" s="16">
        <f t="shared" ref="K54:K55" si="13">+H54+I54-J54</f>
        <v>2581268.65</v>
      </c>
      <c r="L54" s="15">
        <v>0</v>
      </c>
    </row>
    <row r="55" spans="1:14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4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3464.9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3464.9</v>
      </c>
      <c r="L56" s="50">
        <v>0</v>
      </c>
    </row>
    <row r="57" spans="1:14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3464.9</v>
      </c>
      <c r="I57" s="16">
        <v>0</v>
      </c>
      <c r="J57" s="16">
        <v>0</v>
      </c>
      <c r="K57" s="16">
        <f>+H57+I57-J57</f>
        <v>3464.9</v>
      </c>
      <c r="L57" s="15">
        <v>0</v>
      </c>
    </row>
    <row r="58" spans="1:14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4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4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94443504.750000015</v>
      </c>
      <c r="D60" s="55">
        <f>D14+D21+D33+D47+D53+D56</f>
        <v>3451.04</v>
      </c>
      <c r="E60" s="55">
        <f>E14+E21+E47+E53+E56</f>
        <v>12623190</v>
      </c>
      <c r="F60" s="50">
        <f>E60/C60</f>
        <v>0.13365863574646725</v>
      </c>
      <c r="G60" s="55">
        <f>G14+G21+G47+G53+G56</f>
        <v>81820314.750000015</v>
      </c>
      <c r="H60" s="55">
        <f>H14+H21+H33+H47+H53+H56</f>
        <v>64854546.32</v>
      </c>
      <c r="I60" s="19">
        <f t="shared" ref="I60" si="17">I14+I21+I47+I53+I56</f>
        <v>0</v>
      </c>
      <c r="J60" s="55">
        <f>J14+J21+J47+J53+J56</f>
        <v>1502096.2999999998</v>
      </c>
      <c r="K60" s="19">
        <f>K14+K21+K47+K53+K56</f>
        <v>63066479.260000005</v>
      </c>
      <c r="L60" s="15">
        <f>E60/B60</f>
        <v>7.6623982253465686E-2</v>
      </c>
    </row>
    <row r="61" spans="1:14" ht="15.75" customHeight="1" x14ac:dyDescent="0.2">
      <c r="B61" s="80"/>
      <c r="C61" s="79">
        <f>'[1]AI MENSUAL'!$F$6+'[1]AI MENSUAL'!$G$6+'[1]AI MENSUAL'!$H$6</f>
        <v>94444173.530000001</v>
      </c>
      <c r="D61" s="79">
        <f>'[1]AI MENSUAL'!$F$145+'[1]AI MENSUAL'!$G$145+'[1]AI MENSUAL'!$H$145</f>
        <v>0</v>
      </c>
      <c r="E61" s="79">
        <f>[2]ISAN!$G$11+[2]ISAN!$H$11+[2]ISAN!$I$11</f>
        <v>82160.91</v>
      </c>
      <c r="G61" s="79">
        <f>C60-E60</f>
        <v>81820314.750000015</v>
      </c>
      <c r="H61" s="79">
        <v>64854546.32</v>
      </c>
      <c r="I61" s="80"/>
      <c r="J61" s="79">
        <f>[3]Hoja1!$B$9+432486.12+[3]Hoja1!$D$8</f>
        <v>1502096.2999999998</v>
      </c>
      <c r="K61" s="56"/>
    </row>
    <row r="62" spans="1:14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4" ht="15.75" customHeight="1" x14ac:dyDescent="0.2">
      <c r="C63" s="87"/>
      <c r="D63" s="87"/>
      <c r="E63" s="87"/>
      <c r="F63" s="87"/>
      <c r="G63" s="60"/>
      <c r="H63" s="87"/>
      <c r="I63" s="87"/>
    </row>
    <row r="64" spans="1:14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88" t="s">
        <v>8</v>
      </c>
      <c r="L64" s="1" t="s">
        <v>114</v>
      </c>
      <c r="M64" s="56">
        <f>C61-C60</f>
        <v>668.77999998629093</v>
      </c>
      <c r="N64" s="56">
        <f>M64-D33</f>
        <v>119.73999998629097</v>
      </c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L65" s="56"/>
      <c r="M65" s="80"/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</f>
        <v>20303</v>
      </c>
      <c r="H66" s="206"/>
      <c r="I66" s="23">
        <f t="shared" ref="I66:I72" si="18">G66/D66</f>
        <v>0.17967256637168141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</f>
        <v>752987</v>
      </c>
      <c r="H67" s="206"/>
      <c r="I67" s="23">
        <f t="shared" si="18"/>
        <v>5.8671068534513961E-2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</f>
        <v>445842.4</v>
      </c>
      <c r="H68" s="206"/>
      <c r="I68" s="23">
        <f t="shared" si="18"/>
        <v>1.0304444495805118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</f>
        <v>23008</v>
      </c>
      <c r="H69" s="206"/>
      <c r="I69" s="23">
        <f t="shared" si="18"/>
        <v>0.15977777777777777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</f>
        <v>3246.84</v>
      </c>
      <c r="H71" s="206"/>
      <c r="I71" s="23">
        <f t="shared" si="18"/>
        <v>2.699198171444624E-3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1245387.24</v>
      </c>
      <c r="H72" s="206"/>
      <c r="I72" s="23">
        <f t="shared" si="18"/>
        <v>6.4372397674967996E-2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86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86"/>
      <c r="C76" s="86"/>
      <c r="D76" s="86"/>
      <c r="G76" s="62"/>
      <c r="H76" s="81"/>
      <c r="J76" s="81"/>
      <c r="K76" s="81"/>
    </row>
    <row r="77" spans="1:15" s="27" customFormat="1" ht="15.75" customHeight="1" x14ac:dyDescent="0.3">
      <c r="B77" s="212" t="s">
        <v>109</v>
      </c>
      <c r="C77" s="212"/>
      <c r="D77" s="82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82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85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83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84"/>
      <c r="B91" s="84"/>
      <c r="C91" s="84"/>
      <c r="D91" s="84"/>
      <c r="E91" s="84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E136:T136"/>
    <mergeCell ref="E104:L104"/>
    <mergeCell ref="E106:L106"/>
    <mergeCell ref="E108:L108"/>
    <mergeCell ref="E122:L122"/>
    <mergeCell ref="E134:T134"/>
    <mergeCell ref="E135:T135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B77:C77"/>
    <mergeCell ref="F77:H77"/>
    <mergeCell ref="J77:K77"/>
    <mergeCell ref="B78:C78"/>
    <mergeCell ref="F78:H78"/>
    <mergeCell ref="J78:K78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68:C68"/>
    <mergeCell ref="D68:F68"/>
    <mergeCell ref="G68:H68"/>
    <mergeCell ref="B69:C69"/>
    <mergeCell ref="D69:F69"/>
    <mergeCell ref="G69:H69"/>
    <mergeCell ref="B66:C66"/>
    <mergeCell ref="D66:F66"/>
    <mergeCell ref="G66:H66"/>
    <mergeCell ref="B67:C67"/>
    <mergeCell ref="D67:F67"/>
    <mergeCell ref="G67:H67"/>
    <mergeCell ref="C62:I62"/>
    <mergeCell ref="B64:C64"/>
    <mergeCell ref="D64:F64"/>
    <mergeCell ref="G64:H64"/>
    <mergeCell ref="B65:C65"/>
    <mergeCell ref="D65:F65"/>
    <mergeCell ref="G65:H65"/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44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91"/>
      <c r="B6" s="91"/>
      <c r="C6" s="91"/>
      <c r="D6" s="91"/>
      <c r="E6" s="91"/>
      <c r="F6" s="91"/>
      <c r="G6" s="7"/>
      <c r="H6" s="91"/>
      <c r="I6" s="91"/>
      <c r="J6" s="91"/>
      <c r="K6" s="91"/>
      <c r="L6" s="91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92"/>
      <c r="B8" s="92"/>
      <c r="C8" s="92"/>
      <c r="D8" s="92"/>
      <c r="E8" s="92"/>
      <c r="F8" s="92"/>
      <c r="G8" s="58"/>
      <c r="H8" s="92"/>
      <c r="I8" s="92"/>
      <c r="J8" s="92"/>
      <c r="K8" s="92"/>
      <c r="L8" s="92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91"/>
      <c r="E9" s="91"/>
      <c r="F9" s="91"/>
      <c r="G9" s="7"/>
      <c r="H9" s="91"/>
      <c r="I9" s="91"/>
      <c r="J9" s="91"/>
      <c r="K9" s="91"/>
      <c r="L9" s="91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93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73282773.179999992</v>
      </c>
      <c r="D14" s="55">
        <f>SUM(D15:D20)</f>
        <v>4074.96</v>
      </c>
      <c r="E14" s="19">
        <f>SUM(E15:E20)</f>
        <v>0</v>
      </c>
      <c r="F14" s="50">
        <f>E14/C14</f>
        <v>0</v>
      </c>
      <c r="G14" s="54">
        <f>C14-E14</f>
        <v>73282773.179999992</v>
      </c>
      <c r="H14" s="19">
        <f>SUM(H15:H20)</f>
        <v>27994391.59</v>
      </c>
      <c r="I14" s="19">
        <f>SUM(I15:I20)</f>
        <v>0</v>
      </c>
      <c r="J14" s="19">
        <f t="shared" ref="J14" si="0">SUM(J15:J20)</f>
        <v>448224.23000000004</v>
      </c>
      <c r="K14" s="20">
        <f>+H14+I14-J14</f>
        <v>27546167.359999999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MENSUAL'!$H$10+'[1]AI MENSUAL'!$I$10</f>
        <v>66030739.720000006</v>
      </c>
      <c r="D15" s="51">
        <v>0</v>
      </c>
      <c r="E15" s="51">
        <f>[2]REPO!$G$206+[2]REPO!$H$206+[2]REPO!$I$206+[2]REPO!$J$206</f>
        <v>0</v>
      </c>
      <c r="F15" s="15">
        <f>E15/C15</f>
        <v>0</v>
      </c>
      <c r="G15" s="53">
        <f>C15-E15</f>
        <v>66030739.720000006</v>
      </c>
      <c r="H15" s="16">
        <v>27994391.59</v>
      </c>
      <c r="I15" s="16">
        <v>0</v>
      </c>
      <c r="J15" s="16">
        <f>[3]Hoja1!$B$3+[3]Hoja1!$C$3+[3]Hoja1!$D$3+[3]Hoja1!$E$3</f>
        <v>448224.23000000004</v>
      </c>
      <c r="K15" s="16">
        <f>+H15+I15-J15</f>
        <v>27546167.359999999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MENSUAL'!$H$30+'[1]AI MENSUAL'!$I$30</f>
        <v>4702215.9000000004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4702215.9000000004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MENSUAL'!$F$39+'[1]AI MENSUAL'!$G$39+'[1]AI MENSUAL'!$H$39+'[1]AI MENSUAL'!$I$39</f>
        <v>2545742.6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2545742.6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MENSUAL'!$F$35+'[1]AI MENSUAL'!$G$35+'[1]AI MENSUAL'!$H$35+'[1]AI MENSUAL'!$I$35</f>
        <v>4074.96</v>
      </c>
      <c r="D18" s="51">
        <f>'[1]AI MENSUAL'!$F$35+'[1]AI MENSUAL'!$G$35+'[1]AI MENSUAL'!$H$35+'[1]AI MENSUAL'!$I$35</f>
        <v>4074.96</v>
      </c>
      <c r="E18" s="14">
        <v>0</v>
      </c>
      <c r="F18" s="15">
        <f t="shared" si="2"/>
        <v>0</v>
      </c>
      <c r="G18" s="53">
        <f t="shared" si="4"/>
        <v>4074.96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37232304.419999994</v>
      </c>
      <c r="D21" s="55">
        <f>SUM(D22:D32)</f>
        <v>379.35</v>
      </c>
      <c r="E21" s="19">
        <f>SUM(E22:E32)</f>
        <v>19265913.499999996</v>
      </c>
      <c r="F21" s="50">
        <f>E21/C21</f>
        <v>0.51745154644929714</v>
      </c>
      <c r="G21" s="54">
        <f>C21-E21</f>
        <v>17966390.919999998</v>
      </c>
      <c r="H21" s="19">
        <f>SUM(H22:H32)</f>
        <v>18498918.720000003</v>
      </c>
      <c r="I21" s="19">
        <f t="shared" ref="I21:K21" si="5">SUM(I22:I32)</f>
        <v>0</v>
      </c>
      <c r="J21" s="19">
        <f t="shared" si="5"/>
        <v>1755644.7299999997</v>
      </c>
      <c r="K21" s="19">
        <f t="shared" si="5"/>
        <v>16743273.990000002</v>
      </c>
      <c r="L21" s="50">
        <f>E21/B21</f>
        <v>0.24449332965242268</v>
      </c>
      <c r="M21" s="1">
        <v>46493310.310000002</v>
      </c>
      <c r="N21" s="101">
        <f>M21-H21</f>
        <v>27994391.59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MENSUAL'!$F$52+'[1]AI MENSUAL'!$G$52+'[1]AI MENSUAL'!$H$52+'[1]AI MENSUAL'!$I$52</f>
        <v>15772899.859999999</v>
      </c>
      <c r="D22" s="51">
        <f>'[1]AI MENSUAL'!$F$53+'[1]AI MENSUAL'!$G$53+'[1]AI MENSUAL'!$H$53+'[1]AI MENSUAL'!$I$53</f>
        <v>266.37</v>
      </c>
      <c r="E22" s="14">
        <f>[4]FGP!$T$27+[5]FGP!$H$27+[5]FGP!$I$27+[5]FGP!$J$27</f>
        <v>9307923.2899999991</v>
      </c>
      <c r="F22" s="15">
        <f>E22/C22</f>
        <v>0.59012124419840195</v>
      </c>
      <c r="G22" s="53">
        <f>C22-E22</f>
        <v>6464976.5700000003</v>
      </c>
      <c r="H22" s="16">
        <v>6887960.0800000001</v>
      </c>
      <c r="I22" s="16">
        <v>0</v>
      </c>
      <c r="J22" s="16">
        <f>[3]Hoja1!$B$4+[3]Hoja1!$C$4+[3]Hoja1!$D$4+[3]Hoja1!$E$4</f>
        <v>1367008.0699999998</v>
      </c>
      <c r="K22" s="16">
        <f>+H22+I22-J22</f>
        <v>5520952.0099999998</v>
      </c>
      <c r="L22" s="15">
        <f>E22/B22</f>
        <v>0.32403775572274435</v>
      </c>
      <c r="M22" s="79">
        <f>[3]Hoja1!$B$9+432486.12+[3]Hoja1!$D$8+[3]Hoja1!$E$8</f>
        <v>2203868.96</v>
      </c>
      <c r="N22" s="101">
        <f>M22-J21</f>
        <v>448224.23000000021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MENSUAL'!$F$101+'[1]AI MENSUAL'!$G$101+'[1]AI MENSUAL'!$H$101+'[1]AI MENSUAL'!$I$101</f>
        <v>2976829.6</v>
      </c>
      <c r="D23" s="51">
        <f>'[1]AI MENSUAL'!$F$102+'[1]AI MENSUAL'!$G$102+'[1]AI MENSUAL'!$H$102+'[1]AI MENSUAL'!$I$102</f>
        <v>32.67</v>
      </c>
      <c r="E23" s="14">
        <f>[4]FISM!$T$55+[5]FISM!$H$55+[5]FISM!$I$55+[5]FISM!$J$55</f>
        <v>0</v>
      </c>
      <c r="F23" s="15">
        <f t="shared" ref="F23:F29" si="6">E23/C23</f>
        <v>0</v>
      </c>
      <c r="G23" s="53">
        <f t="shared" ref="G23:G31" si="7">C23-E23</f>
        <v>2976829.6</v>
      </c>
      <c r="H23" s="16">
        <v>2977264.54</v>
      </c>
      <c r="I23" s="16">
        <v>0</v>
      </c>
      <c r="J23" s="16">
        <v>0</v>
      </c>
      <c r="K23" s="16">
        <f t="shared" si="3"/>
        <v>2977264.54</v>
      </c>
      <c r="L23" s="15">
        <f t="shared" si="1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MENSUAL'!$F$104+'[1]AI MENSUAL'!$G$104+'[1]AI MENSUAL'!$H$104+'[1]AI MENSUAL'!$I$104</f>
        <v>9216465.0399999991</v>
      </c>
      <c r="D24" s="51">
        <f>'[1]AI MENSUAL'!$F$105+'[1]AI MENSUAL'!$G$105+'[1]AI MENSUAL'!$H$105+'[1]AI MENSUAL'!$I$105</f>
        <v>0</v>
      </c>
      <c r="E24" s="14">
        <f>[5]FORTAMUN!$G$32+[5]FORTAMUN!$H$32+[5]FORTAMUN!$I$32+[5]FORTAMUN!$J$32</f>
        <v>5819058.709999999</v>
      </c>
      <c r="F24" s="15">
        <f t="shared" si="6"/>
        <v>0.63137642086688794</v>
      </c>
      <c r="G24" s="53">
        <f>C24-E24</f>
        <v>3397406.33</v>
      </c>
      <c r="H24" s="16">
        <v>3501832.16</v>
      </c>
      <c r="I24" s="16">
        <v>0</v>
      </c>
      <c r="J24" s="16">
        <f>[3]Hoja1!$B$5+[3]Hoja1!$C$5+[3]Hoja1!$D$5+[3]Hoja1!$E$5</f>
        <v>378343.67000000004</v>
      </c>
      <c r="K24" s="16">
        <f t="shared" si="3"/>
        <v>3123488.49</v>
      </c>
      <c r="L24" s="15">
        <f t="shared" si="1"/>
        <v>0.21731555850169917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MENSUAL'!$F$77+'[1]AI MENSUAL'!$G$77+'[1]AI MENSUAL'!$H$77+'[1]AI MENSUAL'!$I$77</f>
        <v>785626.24</v>
      </c>
      <c r="D25" s="51">
        <f>'[1]AI MENSUAL'!$F$78+'[1]AI MENSUAL'!$G$78+'[1]AI MENSUAL'!$H$78+'[1]AI MENSUAL'!$I$78</f>
        <v>3.81</v>
      </c>
      <c r="E25" s="14">
        <f>[4]FFR!$T$25+[5]FFR!$H$25+[5]FFR!$I$25+[5]FFR!$J$25</f>
        <v>99640.59</v>
      </c>
      <c r="F25" s="15">
        <f t="shared" si="6"/>
        <v>0.12682950864777631</v>
      </c>
      <c r="G25" s="53">
        <f t="shared" si="7"/>
        <v>685985.65</v>
      </c>
      <c r="H25" s="16">
        <v>690570.45</v>
      </c>
      <c r="I25" s="16">
        <v>0</v>
      </c>
      <c r="J25" s="16">
        <f>[3]Hoja1!$B$6+[3]Hoja1!$C$6+[3]Hoja1!$D$6+[3]Hoja1!$E$6</f>
        <v>10292.99</v>
      </c>
      <c r="K25" s="16">
        <f t="shared" si="3"/>
        <v>680277.46</v>
      </c>
      <c r="L25" s="15">
        <f t="shared" si="1"/>
        <v>8.5760508913824279E-2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MENSUAL'!$F$48+'[1]AI MENSUAL'!$G$48+'[1]AI MENSUAL'!$H$48+'[1]AI MENSUAL'!$I$48</f>
        <v>5058293.6099999994</v>
      </c>
      <c r="D26" s="51">
        <f>'[1]AI MENSUAL'!$F$49+'[1]AI MENSUAL'!$G$49+'[1]AI MENSUAL'!$H$49+'[1]AI MENSUAL'!$I$49</f>
        <v>23.380000000000003</v>
      </c>
      <c r="E26" s="14">
        <f>[4]FFM!$G$21+[5]FFM!$H$21+[5]FFM!$I$21+[5]FFM!$J$21</f>
        <v>2675447.2999999998</v>
      </c>
      <c r="F26" s="15">
        <f t="shared" si="6"/>
        <v>0.52892289500767042</v>
      </c>
      <c r="G26" s="53">
        <f t="shared" si="7"/>
        <v>2382846.3099999996</v>
      </c>
      <c r="H26" s="16">
        <v>2382886.37</v>
      </c>
      <c r="I26" s="16">
        <v>0</v>
      </c>
      <c r="J26" s="16">
        <v>0</v>
      </c>
      <c r="K26" s="16">
        <f t="shared" si="3"/>
        <v>2382886.37</v>
      </c>
      <c r="L26" s="15">
        <f t="shared" si="1"/>
        <v>0.21778930425467985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MENSUAL'!$F$62+'[1]AI MENSUAL'!$G$62+'[1]AI MENSUAL'!$H$62+'[1]AI MENSUAL'!$I$62</f>
        <v>413162.85000000003</v>
      </c>
      <c r="D27" s="51">
        <f>'[1]AI MENSUAL'!$F$63+'[1]AI MENSUAL'!$G$63+'[1]AI MENSUAL'!$H$63+'[1]AI MENSUAL'!$I$63</f>
        <v>0.79</v>
      </c>
      <c r="E27" s="14">
        <f>'[4]IEPS TAB'!$G$11+'[5]IEPS TAB'!$H$11+'[5]IEPS TAB'!$I$11+'[5]IEPS TAB'!$J$11</f>
        <v>307332.46999999997</v>
      </c>
      <c r="F27" s="15">
        <f t="shared" si="6"/>
        <v>0.74385310779998726</v>
      </c>
      <c r="G27" s="53">
        <f t="shared" si="7"/>
        <v>105830.38000000006</v>
      </c>
      <c r="H27" s="16">
        <v>105831.37</v>
      </c>
      <c r="I27" s="16">
        <v>0</v>
      </c>
      <c r="J27" s="16">
        <v>0</v>
      </c>
      <c r="K27" s="16">
        <f t="shared" si="3"/>
        <v>105831.37</v>
      </c>
      <c r="L27" s="15">
        <f t="shared" si="1"/>
        <v>0.48083056150945752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MENSUAL'!$F$58+'[1]AI MENSUAL'!$G$58+'[1]AI MENSUAL'!$H$58+'[1]AI MENSUAL'!$I$58</f>
        <v>505106.62</v>
      </c>
      <c r="D28" s="51">
        <f>'[1]AI MENSUAL'!$F$59+'[1]AI MENSUAL'!$G$59+'[1]AI MENSUAL'!$H$59+'[1]AI MENSUAL'!$I$59</f>
        <v>1.69</v>
      </c>
      <c r="E28" s="14">
        <f>'[4]IEPS GAS'!$G$11+'[5]IEPS GAS'!$H$11+'[5]IEPS GAS'!$I$11+'[5]IEPS GAS'!$J$11</f>
        <v>383741.25</v>
      </c>
      <c r="F28" s="15">
        <f t="shared" si="6"/>
        <v>0.75972326397147594</v>
      </c>
      <c r="G28" s="53">
        <f t="shared" si="7"/>
        <v>121365.37</v>
      </c>
      <c r="H28" s="16">
        <v>121367.55</v>
      </c>
      <c r="I28" s="16">
        <v>0</v>
      </c>
      <c r="J28" s="16">
        <v>0</v>
      </c>
      <c r="K28" s="16">
        <f t="shared" si="3"/>
        <v>121367.55</v>
      </c>
      <c r="L28" s="15">
        <f t="shared" si="1"/>
        <v>0.28958981073412221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MENSUAL'!$F$70+'[1]AI MENSUAL'!$G$70+'[1]AI MENSUAL'!$H$70+'[1]AI MENSUAL'!$I$70</f>
        <v>31823.200000000001</v>
      </c>
      <c r="D29" s="51">
        <f>'[1]AI MENSUAL'!$F$71+'[1]AI MENSUAL'!$G$71+'[1]AI MENSUAL'!$H$71+'[1]AI MENSUAL'!$I$71</f>
        <v>0.06</v>
      </c>
      <c r="E29" s="14">
        <f>[4]CISAN!$G$11+[5]CISAN!$H$11+[5]CISAN!$I$11+[5]CISAN!$J$11</f>
        <v>21126.23</v>
      </c>
      <c r="F29" s="15">
        <f t="shared" si="6"/>
        <v>0.66386252796701772</v>
      </c>
      <c r="G29" s="53">
        <f t="shared" si="7"/>
        <v>10696.970000000001</v>
      </c>
      <c r="H29" s="16">
        <v>10697.05</v>
      </c>
      <c r="I29" s="16">
        <v>0</v>
      </c>
      <c r="J29" s="16">
        <v>0</v>
      </c>
      <c r="K29" s="16">
        <f t="shared" si="3"/>
        <v>10697.05</v>
      </c>
      <c r="L29" s="15">
        <f t="shared" si="1"/>
        <v>0.42159708640989824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MENSUAL'!$F$67+'[1]AI MENSUAL'!$G$67+'[1]AI MENSUAL'!$H$67+'[1]AI MENSUAL'!$I$67</f>
        <v>201927.4</v>
      </c>
      <c r="D30" s="51">
        <f>'[1]AI MENSUAL'!$F$68+'[1]AI MENSUAL'!$G$68+'[1]AI MENSUAL'!$H$68+'[1]AI MENSUAL'!$I$68</f>
        <v>0.27</v>
      </c>
      <c r="E30" s="14">
        <f>[4]ISAN!$G$11+[5]ISAN!$H$11+[5]ISAN!$I$11+[5]ISAN!$J$11</f>
        <v>167774.66</v>
      </c>
      <c r="F30" s="15">
        <f>E30/C30</f>
        <v>0.83086624202559933</v>
      </c>
      <c r="G30" s="53">
        <f>C30-E30</f>
        <v>34152.739999999991</v>
      </c>
      <c r="H30" s="16">
        <v>34153.769999999997</v>
      </c>
      <c r="I30" s="16">
        <v>0</v>
      </c>
      <c r="J30" s="16">
        <v>0</v>
      </c>
      <c r="K30" s="16">
        <f t="shared" si="3"/>
        <v>34153.769999999997</v>
      </c>
      <c r="L30" s="15">
        <f>E30/B30</f>
        <v>0.73812317696074337</v>
      </c>
    </row>
    <row r="31" spans="1:14" ht="15.75" customHeight="1" x14ac:dyDescent="0.25">
      <c r="A31" s="17" t="s">
        <v>95</v>
      </c>
      <c r="B31" s="78">
        <v>0</v>
      </c>
      <c r="C31" s="51">
        <f>'[1]AI MENSUAL'!$F$95+'[1]AI MENSUAL'!$G$95+'[1]AI MENSUAL'!$H$95+'[1]AI MENSUAL'!$I$95</f>
        <v>0</v>
      </c>
      <c r="D31" s="51">
        <f>'[1]AI MENSUAL'!$F$96+'[1]AI MENSUAL'!$G$96+'[1]AI MENSUAL'!$H$96+'[1]AI MENSUAL'!$I$96</f>
        <v>0</v>
      </c>
      <c r="E31" s="14">
        <f>[4]PRODDER!$T$12+[5]PRODDER!$U$12+[5]PRODDER!$V$12+[5]PRODDER!$W$12</f>
        <v>0</v>
      </c>
      <c r="F31" s="15">
        <v>0</v>
      </c>
      <c r="G31" s="53">
        <f t="shared" si="7"/>
        <v>0</v>
      </c>
      <c r="H31" s="16">
        <v>0.64</v>
      </c>
      <c r="I31" s="16">
        <v>0</v>
      </c>
      <c r="J31" s="16">
        <v>0</v>
      </c>
      <c r="K31" s="16">
        <f t="shared" si="3"/>
        <v>0.64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MENSUAL'!$F$89+'[1]AI MENSUAL'!$G$89+'[1]AI MENSUAL'!$H$89+'[1]AI MENSUAL'!$I$89</f>
        <v>2270170</v>
      </c>
      <c r="D32" s="51">
        <f>'[1]AI MENSUAL'!$F$90+'[1]AI MENSUAL'!$G$90+'[1]AI MENSUAL'!$H$90+'[1]AI MENSUAL'!$I$90</f>
        <v>50.31</v>
      </c>
      <c r="E32" s="14">
        <f>[4]ISR!$T$47+[5]ISR!$H$47+[5]ISR!$I$47+[5]ISR!$J$47</f>
        <v>483869</v>
      </c>
      <c r="F32" s="15">
        <f>E32/C32</f>
        <v>0.21314218758947567</v>
      </c>
      <c r="G32" s="53">
        <f>C32-E32</f>
        <v>1786301</v>
      </c>
      <c r="H32" s="16">
        <v>1786354.74</v>
      </c>
      <c r="I32" s="16">
        <v>0</v>
      </c>
      <c r="J32" s="16">
        <v>0</v>
      </c>
      <c r="K32" s="16">
        <f t="shared" si="3"/>
        <v>1786354.74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570.02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62099.01</v>
      </c>
      <c r="I33" s="19">
        <f>SUM(I34:I46)</f>
        <v>0</v>
      </c>
      <c r="J33" s="19">
        <f>SUM(J34:J46)</f>
        <v>0</v>
      </c>
      <c r="K33" s="19">
        <f>SUM(K34:K46)</f>
        <v>62099.01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61967.29</v>
      </c>
      <c r="I34" s="16">
        <v>0</v>
      </c>
      <c r="J34" s="16">
        <v>0</v>
      </c>
      <c r="K34" s="16">
        <f>+H34+I34-J34</f>
        <v>61967.29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MENSUAL'!$H$54+'[1]AI MENSUAL'!$I$54</f>
        <v>98.960000000000008</v>
      </c>
      <c r="E35" s="14">
        <v>0</v>
      </c>
      <c r="F35" s="15">
        <v>0</v>
      </c>
      <c r="G35" s="53">
        <f>C35-E35</f>
        <v>0</v>
      </c>
      <c r="H35" s="16">
        <v>131.72</v>
      </c>
      <c r="I35" s="16">
        <v>0</v>
      </c>
      <c r="J35" s="16">
        <v>0</v>
      </c>
      <c r="K35" s="16">
        <f>+H35+I35-J35</f>
        <v>131.72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MENSUAL'!$H$103+'[1]AI MENSUAL'!$I$103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MENSUAL'!$H$106+'[1]AI MENSUAL'!$I$106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MENSUAL'!$H$79+'[1]AI MENSUAL'!$I$79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MENSUAL'!$H$50+'[1]AI MENSUAL'!$I$50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MENSUAL'!$H$64+'[1]AI MENSUAL'!$I$64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MENSUAL'!$H$60+'[1]AI MENSUAL'!$I$60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MENSUAL'!$H$72+'[1]AI MENSUAL'!$I$72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MENSUAL'!$H$69+'[1]AI MENSUAL'!$I$69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MENSUAL'!$H$97+'[1]AI MENSUAL'!$I$97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MENSUAL'!$H$91+'[1]AI MENSUAL'!$I$91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4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4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4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4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4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2581313.8199999998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2581313.8199999998</v>
      </c>
      <c r="L53" s="50">
        <v>0</v>
      </c>
    </row>
    <row r="54" spans="1:14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2581313.8199999998</v>
      </c>
      <c r="I54" s="16">
        <v>0</v>
      </c>
      <c r="J54" s="16">
        <v>0</v>
      </c>
      <c r="K54" s="16">
        <f t="shared" ref="K54:K55" si="13">+H54+I54-J54</f>
        <v>2581313.8199999998</v>
      </c>
      <c r="L54" s="15">
        <v>0</v>
      </c>
    </row>
    <row r="55" spans="1:14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4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3471.94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3471.94</v>
      </c>
      <c r="L56" s="50">
        <v>0</v>
      </c>
    </row>
    <row r="57" spans="1:14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3471.94</v>
      </c>
      <c r="I57" s="16">
        <v>0</v>
      </c>
      <c r="J57" s="16">
        <v>0</v>
      </c>
      <c r="K57" s="16">
        <f>+H57+I57-J57</f>
        <v>3471.94</v>
      </c>
      <c r="L57" s="15">
        <v>0</v>
      </c>
    </row>
    <row r="58" spans="1:14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4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4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110515077.59999999</v>
      </c>
      <c r="D60" s="55">
        <f>D14+D21+D33+D47+D53+D56</f>
        <v>5024.33</v>
      </c>
      <c r="E60" s="55">
        <f>E14+E21+E47+E53+E56</f>
        <v>19265913.499999996</v>
      </c>
      <c r="F60" s="50">
        <f>E60/C60</f>
        <v>0.17432837146195876</v>
      </c>
      <c r="G60" s="55">
        <f>G14+G21+G47+G53+G56</f>
        <v>91249164.099999994</v>
      </c>
      <c r="H60" s="55">
        <f>H14+H21+H33+H47+H53+H56</f>
        <v>49140195.079999998</v>
      </c>
      <c r="I60" s="19">
        <f t="shared" ref="I60" si="17">I14+I21+I47+I53+I56</f>
        <v>0</v>
      </c>
      <c r="J60" s="55">
        <f>J14+J21+J47+J53+J56</f>
        <v>2203868.96</v>
      </c>
      <c r="K60" s="19">
        <f>K14+K21+K47+K53+K56</f>
        <v>46874227.109999999</v>
      </c>
      <c r="L60" s="15">
        <f>E60/B60</f>
        <v>0.11694595535049418</v>
      </c>
    </row>
    <row r="61" spans="1:14" ht="15.75" customHeight="1" x14ac:dyDescent="0.2">
      <c r="B61" s="80"/>
      <c r="C61" s="79">
        <f>'[1]AI MENSUAL'!$F$6+'[1]AI MENSUAL'!$G$6+'[1]AI MENSUAL'!$H$6+'[1]AI MENSUAL'!$I$6</f>
        <v>110516026.97</v>
      </c>
      <c r="D61" s="79">
        <f>'[1]AI MENSUAL'!$F$145+'[1]AI MENSUAL'!$G$145+'[1]AI MENSUAL'!$H$145+'[1]AI MENSUAL'!$I$145</f>
        <v>0</v>
      </c>
      <c r="E61" s="79">
        <f>[2]GLOBAL!$G$443+[2]GLOBAL!$H$443+[2]GLOBAL!$I$443+[2]GLOBAL!$J$443</f>
        <v>0</v>
      </c>
      <c r="G61" s="79">
        <f>C60-E60</f>
        <v>91249164.099999994</v>
      </c>
      <c r="H61" s="79">
        <v>49140195.079999998</v>
      </c>
      <c r="I61" s="80"/>
      <c r="J61" s="79">
        <f>[3]Hoja1!$B$9+432486.12+[3]Hoja1!$D$8+[3]Hoja1!$E$8</f>
        <v>2203868.96</v>
      </c>
      <c r="K61" s="56"/>
    </row>
    <row r="62" spans="1:14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4" ht="15.75" customHeight="1" x14ac:dyDescent="0.2">
      <c r="C63" s="94"/>
      <c r="D63" s="94"/>
      <c r="E63" s="94"/>
      <c r="F63" s="94"/>
      <c r="G63" s="60"/>
      <c r="H63" s="94"/>
      <c r="I63" s="94"/>
    </row>
    <row r="64" spans="1:14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95" t="s">
        <v>8</v>
      </c>
      <c r="L64" s="1" t="s">
        <v>114</v>
      </c>
      <c r="M64" s="56">
        <f>C61-C60</f>
        <v>949.37000000476837</v>
      </c>
      <c r="N64" s="56">
        <f>M64-D33</f>
        <v>379.35000000476839</v>
      </c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L65" s="56"/>
      <c r="M65" s="80"/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[3]Hoja1!$B$18+[3]Hoja1!$C$18+[3]Hoja1!$D$18+[3]Hoja1!$E$18</f>
        <v>40611</v>
      </c>
      <c r="H66" s="206"/>
      <c r="I66" s="23">
        <f t="shared" ref="I66:I72" si="18">G66/D66</f>
        <v>0.35938938053097347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[3]Hoja1!$B$28+[3]Hoja1!$C$28+[3]Hoja1!$D$29+[3]Hoja1!$E$28</f>
        <v>2073623.4</v>
      </c>
      <c r="H67" s="206"/>
      <c r="I67" s="23">
        <f t="shared" si="18"/>
        <v>0.1615721129530415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[3]Hoja1!$B$39+[3]Hoja1!$C$39+[3]Hoja1!$D$39+[3]Hoja1!$E$39</f>
        <v>445842.4</v>
      </c>
      <c r="H68" s="206"/>
      <c r="I68" s="23">
        <f t="shared" si="18"/>
        <v>1.0304444495805118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[3]Hoja1!$B$49+[3]Hoja1!$C$49+[3]Hoja1!$D$49+[3]Hoja1!$E$49</f>
        <v>23008</v>
      </c>
      <c r="H69" s="206"/>
      <c r="I69" s="23">
        <f t="shared" si="18"/>
        <v>0.15977777777777777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[3]Hoja1!$B$59+[3]Hoja1!$C$60+[3]Hoja1!$D$59+[3]Hoja1!$E$59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[3]Hoja1!$B$69+[3]Hoja1!$C$69+[3]Hoja1!$D$70+[3]Hoja1!$E$69</f>
        <v>3604.12</v>
      </c>
      <c r="H71" s="206"/>
      <c r="I71" s="23">
        <f t="shared" si="18"/>
        <v>2.9962160481166299E-3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2586688.92</v>
      </c>
      <c r="H72" s="206"/>
      <c r="I72" s="23">
        <f t="shared" si="18"/>
        <v>0.13370248423267406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96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96"/>
      <c r="C76" s="96"/>
      <c r="D76" s="96"/>
      <c r="G76" s="62"/>
      <c r="H76" s="97"/>
      <c r="J76" s="97"/>
      <c r="K76" s="97"/>
    </row>
    <row r="77" spans="1:15" s="27" customFormat="1" ht="15.75" customHeight="1" x14ac:dyDescent="0.3">
      <c r="B77" s="212" t="s">
        <v>109</v>
      </c>
      <c r="C77" s="212"/>
      <c r="D77" s="99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99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100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91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98"/>
      <c r="B91" s="98"/>
      <c r="C91" s="98"/>
      <c r="D91" s="98"/>
      <c r="E91" s="98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2:I62"/>
    <mergeCell ref="B64:C64"/>
    <mergeCell ref="D64:F64"/>
    <mergeCell ref="G64:H64"/>
    <mergeCell ref="B65:C65"/>
    <mergeCell ref="D65:F65"/>
    <mergeCell ref="G65:H65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77:C77"/>
    <mergeCell ref="F77:H77"/>
    <mergeCell ref="J77:K77"/>
    <mergeCell ref="B78:C78"/>
    <mergeCell ref="F78:H78"/>
    <mergeCell ref="J78:K78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E136:T136"/>
    <mergeCell ref="E104:L104"/>
    <mergeCell ref="E106:L106"/>
    <mergeCell ref="E108:L108"/>
    <mergeCell ref="E122:L122"/>
    <mergeCell ref="E134:T134"/>
    <mergeCell ref="E135:T135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44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03"/>
      <c r="B6" s="103"/>
      <c r="C6" s="103"/>
      <c r="D6" s="103"/>
      <c r="E6" s="103"/>
      <c r="F6" s="103"/>
      <c r="G6" s="7"/>
      <c r="H6" s="103"/>
      <c r="I6" s="103"/>
      <c r="J6" s="103"/>
      <c r="K6" s="103"/>
      <c r="L6" s="103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04"/>
      <c r="B8" s="104"/>
      <c r="C8" s="104"/>
      <c r="D8" s="104"/>
      <c r="E8" s="104"/>
      <c r="F8" s="104"/>
      <c r="G8" s="58"/>
      <c r="H8" s="104"/>
      <c r="I8" s="104"/>
      <c r="J8" s="104"/>
      <c r="K8" s="104"/>
      <c r="L8" s="104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03"/>
      <c r="E9" s="103"/>
      <c r="F9" s="103"/>
      <c r="G9" s="7"/>
      <c r="H9" s="103"/>
      <c r="I9" s="103"/>
      <c r="J9" s="103"/>
      <c r="K9" s="103"/>
      <c r="L9" s="103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05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74272657.469999999</v>
      </c>
      <c r="D14" s="55">
        <f>SUM(D15:D20)</f>
        <v>5389.8099999999995</v>
      </c>
      <c r="E14" s="19">
        <f>SUM(E15:E20)</f>
        <v>0</v>
      </c>
      <c r="F14" s="50">
        <f>E14/C14</f>
        <v>0</v>
      </c>
      <c r="G14" s="54">
        <f>C14-E14</f>
        <v>74272657.469999999</v>
      </c>
      <c r="H14" s="19">
        <f>SUM(H15:H20)</f>
        <v>5210034.26</v>
      </c>
      <c r="I14" s="19">
        <f>SUM(I15:I20)</f>
        <v>0</v>
      </c>
      <c r="J14" s="19">
        <f t="shared" ref="J14" si="0">SUM(J15:J20)</f>
        <v>866375.13000000012</v>
      </c>
      <c r="K14" s="20">
        <f>+H14+I14-J14</f>
        <v>4343659.13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MENSUAL'!$H$10+'[1]AI MENSUAL'!$I$10+'[1]AI MENSUAL'!$J$10</f>
        <v>66704574.830000006</v>
      </c>
      <c r="D15" s="51">
        <v>0</v>
      </c>
      <c r="E15" s="51">
        <f>[2]REPO!$G$206+[2]REPO!$H$206+[2]REPO!$I$206+[2]REPO!$J$206+[2]REPO!$K$206</f>
        <v>0</v>
      </c>
      <c r="F15" s="15">
        <f>E15/C15</f>
        <v>0</v>
      </c>
      <c r="G15" s="53">
        <f>C15-E15</f>
        <v>66704574.830000006</v>
      </c>
      <c r="H15" s="16">
        <v>5210034.26</v>
      </c>
      <c r="I15" s="16">
        <v>0</v>
      </c>
      <c r="J15" s="16">
        <f>[3]Hoja1!$B$3+[3]Hoja1!$C$3+[3]Hoja1!$D$3+[3]Hoja1!$E$3+[3]Hoja1!$F$3</f>
        <v>866375.13000000012</v>
      </c>
      <c r="K15" s="16">
        <f>+H15+I15-J15</f>
        <v>4343659.13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MENSUAL'!$H$30+'[1]AI MENSUAL'!$I$30+'[1]AI MENSUAL'!$J$30</f>
        <v>4893498.2300000004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4893498.2300000004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MENSUAL'!$F$39+'[1]AI MENSUAL'!$G$39+'[1]AI MENSUAL'!$H$39+'[1]AI MENSUAL'!$I$39+'[1]AI MENSUAL'!$J$39</f>
        <v>2669194.6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2669194.6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MENSUAL'!$F$35+'[1]AI MENSUAL'!$G$35+'[1]AI MENSUAL'!$H$35+'[1]AI MENSUAL'!$I$35+'[1]AI MENSUAL'!$J$35</f>
        <v>5389.8099999999995</v>
      </c>
      <c r="D18" s="51">
        <f>'[1]AI MENSUAL'!$F$35+'[1]AI MENSUAL'!$G$35+'[1]AI MENSUAL'!$H$35+'[1]AI MENSUAL'!$I$35+'[1]AI MENSUAL'!$J$35</f>
        <v>5389.8099999999995</v>
      </c>
      <c r="E18" s="14">
        <v>0</v>
      </c>
      <c r="F18" s="15">
        <f t="shared" si="2"/>
        <v>0</v>
      </c>
      <c r="G18" s="53">
        <f t="shared" si="4"/>
        <v>5389.8099999999995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44815035.359999999</v>
      </c>
      <c r="D21" s="55">
        <f>SUM(D22:D32)</f>
        <v>676.1099999999999</v>
      </c>
      <c r="E21" s="19">
        <f>SUM(E22:E32)</f>
        <v>28168514.459999997</v>
      </c>
      <c r="F21" s="50">
        <f>E21/C21</f>
        <v>0.6285505351880637</v>
      </c>
      <c r="G21" s="54">
        <f>C21-E21</f>
        <v>16646520.900000002</v>
      </c>
      <c r="H21" s="19">
        <f>SUM(H22:H32)</f>
        <v>17311078.010000002</v>
      </c>
      <c r="I21" s="19">
        <f t="shared" ref="I21:K21" si="5">SUM(I22:I32)</f>
        <v>0</v>
      </c>
      <c r="J21" s="19">
        <f t="shared" si="5"/>
        <v>2419087.37</v>
      </c>
      <c r="K21" s="19">
        <f t="shared" si="5"/>
        <v>14891990.639999999</v>
      </c>
      <c r="L21" s="50">
        <f>E21/B21</f>
        <v>0.35747144259148761</v>
      </c>
      <c r="M21" s="1">
        <v>22521112.27</v>
      </c>
      <c r="N21" s="101">
        <f>M21-H21</f>
        <v>5210034.2599999979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MENSUAL'!$F$52+'[1]AI MENSUAL'!$G$52+'[1]AI MENSUAL'!$H$52+'[1]AI MENSUAL'!$I$52+'[1]AI MENSUAL'!$J$52</f>
        <v>18181349.34</v>
      </c>
      <c r="D22" s="51">
        <f>'[1]AI MENSUAL'!$F$53+'[1]AI MENSUAL'!$G$53+'[1]AI MENSUAL'!$H$53+'[1]AI MENSUAL'!$I$53+'[1]AI MENSUAL'!$J$53</f>
        <v>473.97</v>
      </c>
      <c r="E22" s="14">
        <f>[4]FGP!$T$27+[5]FGP!$H$27+[5]FGP!$I$27+[5]FGP!$J$27+[5]FGP!$K$27</f>
        <v>13083910.069999998</v>
      </c>
      <c r="F22" s="15">
        <f>E22/C22</f>
        <v>0.71963361053817132</v>
      </c>
      <c r="G22" s="53">
        <f>C22-E22</f>
        <v>5097439.2700000014</v>
      </c>
      <c r="H22" s="16">
        <v>5550157.3499999996</v>
      </c>
      <c r="I22" s="16">
        <v>0</v>
      </c>
      <c r="J22" s="16">
        <f>[3]Hoja1!$B$4+[3]Hoja1!$C$4+[3]Hoja1!$D$4+[3]Hoja1!$E$4+[3]Hoja1!$F$4</f>
        <v>1819284.94</v>
      </c>
      <c r="K22" s="16">
        <f>+H22+I22-J22</f>
        <v>3730872.4099999997</v>
      </c>
      <c r="L22" s="15">
        <f>E22/B22</f>
        <v>0.45549159818666862</v>
      </c>
      <c r="M22" s="79">
        <f>[3]Hoja1!$B$9+432486.12+[3]Hoja1!$D$8+[3]Hoja1!$E$8+[3]Hoja1!$F$8</f>
        <v>3285462.5</v>
      </c>
      <c r="N22" s="101">
        <f>M22-J21</f>
        <v>866375.12999999989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MENSUAL'!$F$101+'[1]AI MENSUAL'!$G$101+'[1]AI MENSUAL'!$H$101+'[1]AI MENSUAL'!$I$101+'[1]AI MENSUAL'!$J$101</f>
        <v>3721037</v>
      </c>
      <c r="D23" s="51">
        <f>'[1]AI MENSUAL'!$F$102+'[1]AI MENSUAL'!$G$102+'[1]AI MENSUAL'!$H$102+'[1]AI MENSUAL'!$I$102+'[1]AI MENSUAL'!$J$102</f>
        <v>70.300000000000011</v>
      </c>
      <c r="E23" s="14">
        <f>[4]FISM!$T$55+[5]FISM!$H$55+[5]FISM!$I$55+[5]FISM!$J$55+[5]FISM!$K$55</f>
        <v>0</v>
      </c>
      <c r="F23" s="15">
        <f t="shared" ref="F23:F29" si="6">E23/C23</f>
        <v>0</v>
      </c>
      <c r="G23" s="53">
        <f t="shared" ref="G23:G31" si="7">C23-E23</f>
        <v>3721037</v>
      </c>
      <c r="H23" s="16">
        <v>3721509.57</v>
      </c>
      <c r="I23" s="16">
        <v>0</v>
      </c>
      <c r="J23" s="16">
        <v>0</v>
      </c>
      <c r="K23" s="16">
        <f t="shared" si="3"/>
        <v>3721509.57</v>
      </c>
      <c r="L23" s="15">
        <f t="shared" si="1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MENSUAL'!$F$104+'[1]AI MENSUAL'!$G$104+'[1]AI MENSUAL'!$H$104+'[1]AI MENSUAL'!$I$104+'[1]AI MENSUAL'!$J$104</f>
        <v>11520581.299999999</v>
      </c>
      <c r="D24" s="51">
        <f>'[1]AI MENSUAL'!$F$105+'[1]AI MENSUAL'!$G$105+'[1]AI MENSUAL'!$H$105+'[1]AI MENSUAL'!$I$105+'[1]AI MENSUAL'!$J$105</f>
        <v>0</v>
      </c>
      <c r="E24" s="14">
        <f>[5]FORTAMUN!$G$32+[5]FORTAMUN!$H$32+[5]FORTAMUN!$I$32+[5]FORTAMUN!$J$32+[5]FORTAMUN!$K$32</f>
        <v>8192937.9799999986</v>
      </c>
      <c r="F24" s="15">
        <f t="shared" si="6"/>
        <v>0.71115664797226852</v>
      </c>
      <c r="G24" s="53">
        <f>C24-E24</f>
        <v>3327643.3200000003</v>
      </c>
      <c r="H24" s="16">
        <v>3534360.3</v>
      </c>
      <c r="I24" s="16">
        <v>0</v>
      </c>
      <c r="J24" s="16">
        <f>[3]Hoja1!$B$5+[3]Hoja1!$C$5+[3]Hoja1!$D$5+[3]Hoja1!$E$5+[3]Hoja1!$F$5</f>
        <v>585020.54</v>
      </c>
      <c r="K24" s="16">
        <f t="shared" si="3"/>
        <v>2949339.76</v>
      </c>
      <c r="L24" s="15">
        <f t="shared" si="1"/>
        <v>0.30596922657504572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MENSUAL'!$F$77+'[1]AI MENSUAL'!$G$77+'[1]AI MENSUAL'!$H$77+'[1]AI MENSUAL'!$I$77+'[1]AI MENSUAL'!$J$77</f>
        <v>870461.97</v>
      </c>
      <c r="D25" s="51">
        <f>'[1]AI MENSUAL'!$F$78+'[1]AI MENSUAL'!$G$78+'[1]AI MENSUAL'!$H$78+'[1]AI MENSUAL'!$I$78+'[1]AI MENSUAL'!$J$78</f>
        <v>6.3100000000000005</v>
      </c>
      <c r="E25" s="14">
        <f>[4]FFR!$T$25+[5]FFR!$H$25+[5]FFR!$I$25+[5]FFR!$J$25+[5]FFR!$K$25</f>
        <v>238219.53</v>
      </c>
      <c r="F25" s="15">
        <f t="shared" si="6"/>
        <v>0.27367023283050496</v>
      </c>
      <c r="G25" s="53">
        <f t="shared" si="7"/>
        <v>632242.43999999994</v>
      </c>
      <c r="H25" s="16">
        <v>636744.17000000004</v>
      </c>
      <c r="I25" s="16">
        <v>0</v>
      </c>
      <c r="J25" s="16">
        <f>[3]Hoja1!$B$6+[3]Hoja1!$C$6+[3]Hoja1!$D$6+[3]Hoja1!$E$6+[3]Hoja1!$F$6</f>
        <v>14781.89</v>
      </c>
      <c r="K25" s="16">
        <f t="shared" si="3"/>
        <v>621962.28</v>
      </c>
      <c r="L25" s="15">
        <f t="shared" si="1"/>
        <v>0.20503519826620889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MENSUAL'!$F$48+'[1]AI MENSUAL'!$G$48+'[1]AI MENSUAL'!$H$48+'[1]AI MENSUAL'!$I$48+'[1]AI MENSUAL'!$J$48</f>
        <v>6151082.879999999</v>
      </c>
      <c r="D26" s="51">
        <f>'[1]AI MENSUAL'!$F$49+'[1]AI MENSUAL'!$G$49+'[1]AI MENSUAL'!$H$49+'[1]AI MENSUAL'!$I$49+'[1]AI MENSUAL'!$J$49</f>
        <v>42.19</v>
      </c>
      <c r="E26" s="14">
        <f>[4]FFM!$G$21+[5]FFM!$H$21+[5]FFM!$I$21+[5]FFM!$J$21+[5]FFM!$K$21</f>
        <v>3311374.84</v>
      </c>
      <c r="F26" s="15">
        <f t="shared" si="6"/>
        <v>0.53834014345129433</v>
      </c>
      <c r="G26" s="53">
        <f t="shared" si="7"/>
        <v>2839708.0399999991</v>
      </c>
      <c r="H26" s="16">
        <v>2839766.91</v>
      </c>
      <c r="I26" s="16">
        <v>0</v>
      </c>
      <c r="J26" s="16">
        <v>0</v>
      </c>
      <c r="K26" s="16">
        <f t="shared" si="3"/>
        <v>2839766.91</v>
      </c>
      <c r="L26" s="15">
        <f t="shared" si="1"/>
        <v>0.26955568234517341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MENSUAL'!$F$62+'[1]AI MENSUAL'!$G$62+'[1]AI MENSUAL'!$H$62+'[1]AI MENSUAL'!$I$62+'[1]AI MENSUAL'!$J$62</f>
        <v>486259.49000000005</v>
      </c>
      <c r="D27" s="51">
        <f>'[1]AI MENSUAL'!$F$63+'[1]AI MENSUAL'!$G$63+'[1]AI MENSUAL'!$H$63+'[1]AI MENSUAL'!$I$63+'[1]AI MENSUAL'!$J$63</f>
        <v>0.79</v>
      </c>
      <c r="E27" s="14">
        <f>'[4]IEPS TAB'!$G$11+'[5]IEPS TAB'!$H$11+'[5]IEPS TAB'!$I$11+'[5]IEPS TAB'!$J$11+'[5]IEPS TAB'!$K$11</f>
        <v>392253.04</v>
      </c>
      <c r="F27" s="15">
        <f t="shared" si="6"/>
        <v>0.80667431292703395</v>
      </c>
      <c r="G27" s="53">
        <f t="shared" si="7"/>
        <v>94006.45000000007</v>
      </c>
      <c r="H27" s="16">
        <v>94007.44</v>
      </c>
      <c r="I27" s="16">
        <v>0</v>
      </c>
      <c r="J27" s="16">
        <v>0</v>
      </c>
      <c r="K27" s="16">
        <f t="shared" si="3"/>
        <v>94007.44</v>
      </c>
      <c r="L27" s="15">
        <f t="shared" si="1"/>
        <v>0.61369125584742712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MENSUAL'!$F$58+'[1]AI MENSUAL'!$G$58+'[1]AI MENSUAL'!$H$58+'[1]AI MENSUAL'!$I$58+'[1]AI MENSUAL'!$J$58</f>
        <v>628216.64</v>
      </c>
      <c r="D28" s="51">
        <f>'[1]AI MENSUAL'!$F$59+'[1]AI MENSUAL'!$G$59+'[1]AI MENSUAL'!$H$59+'[1]AI MENSUAL'!$I$59+'[1]AI MENSUAL'!$J$59</f>
        <v>2.42</v>
      </c>
      <c r="E28" s="14">
        <f>'[4]IEPS GAS'!$G$11+'[5]IEPS GAS'!$H$11+'[5]IEPS GAS'!$I$11+'[5]IEPS GAS'!$J$11+'[5]IEPS GAS'!$K$11</f>
        <v>572846.19999999995</v>
      </c>
      <c r="F28" s="15">
        <f t="shared" si="6"/>
        <v>0.91186091473158037</v>
      </c>
      <c r="G28" s="53">
        <f t="shared" si="7"/>
        <v>55370.440000000061</v>
      </c>
      <c r="H28" s="16">
        <v>55373.35</v>
      </c>
      <c r="I28" s="16">
        <v>0</v>
      </c>
      <c r="J28" s="16">
        <v>0</v>
      </c>
      <c r="K28" s="16">
        <f t="shared" si="3"/>
        <v>55373.35</v>
      </c>
      <c r="L28" s="15">
        <f t="shared" si="1"/>
        <v>0.4322976032359333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MENSUAL'!$F$70+'[1]AI MENSUAL'!$G$70+'[1]AI MENSUAL'!$H$70+'[1]AI MENSUAL'!$I$70+'[1]AI MENSUAL'!$J$70</f>
        <v>39779</v>
      </c>
      <c r="D29" s="51">
        <f>'[1]AI MENSUAL'!$F$71+'[1]AI MENSUAL'!$G$71+'[1]AI MENSUAL'!$H$71+'[1]AI MENSUAL'!$I$71+'[1]AI MENSUAL'!$J$71</f>
        <v>0.09</v>
      </c>
      <c r="E29" s="14">
        <f>[4]CISAN!$G$11+[5]CISAN!$H$11+[5]CISAN!$I$11+[5]CISAN!$J$11+[5]CISAN!$K$11</f>
        <v>23374.23</v>
      </c>
      <c r="F29" s="15">
        <f t="shared" si="6"/>
        <v>0.58760225244475728</v>
      </c>
      <c r="G29" s="53">
        <f t="shared" si="7"/>
        <v>16404.77</v>
      </c>
      <c r="H29" s="16">
        <v>16404.88</v>
      </c>
      <c r="I29" s="16">
        <v>0</v>
      </c>
      <c r="J29" s="16">
        <v>0</v>
      </c>
      <c r="K29" s="16">
        <f t="shared" si="3"/>
        <v>16404.88</v>
      </c>
      <c r="L29" s="15">
        <f t="shared" si="1"/>
        <v>0.46645839153861501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MENSUAL'!$F$67+'[1]AI MENSUAL'!$G$67+'[1]AI MENSUAL'!$H$67+'[1]AI MENSUAL'!$I$67+'[1]AI MENSUAL'!$J$67</f>
        <v>280882.74</v>
      </c>
      <c r="D30" s="51">
        <f>'[1]AI MENSUAL'!$F$68+'[1]AI MENSUAL'!$G$68+'[1]AI MENSUAL'!$H$68+'[1]AI MENSUAL'!$I$68+'[1]AI MENSUAL'!$J$68</f>
        <v>0.37</v>
      </c>
      <c r="E30" s="14">
        <f>[4]ISAN!$G$11+[5]ISAN!$H$11+[5]ISAN!$I$11+[5]ISAN!$J$11+[5]ISAN!$K$11</f>
        <v>167774.66</v>
      </c>
      <c r="F30" s="15">
        <f>E30/C30</f>
        <v>0.59731210255211842</v>
      </c>
      <c r="G30" s="53">
        <f>C30-E30</f>
        <v>113108.07999999999</v>
      </c>
      <c r="H30" s="16">
        <v>113109.21</v>
      </c>
      <c r="I30" s="16">
        <v>0</v>
      </c>
      <c r="J30" s="16">
        <v>0</v>
      </c>
      <c r="K30" s="16">
        <f t="shared" si="3"/>
        <v>113109.21</v>
      </c>
      <c r="L30" s="15">
        <f>E30/B30</f>
        <v>0.73812317696074337</v>
      </c>
    </row>
    <row r="31" spans="1:14" ht="15.75" customHeight="1" x14ac:dyDescent="0.25">
      <c r="A31" s="17" t="s">
        <v>95</v>
      </c>
      <c r="B31" s="78">
        <v>0</v>
      </c>
      <c r="C31" s="51">
        <f>'[1]AI MENSUAL'!$F$95+'[1]AI MENSUAL'!$G$95+'[1]AI MENSUAL'!$H$95+'[1]AI MENSUAL'!$I$95+'[1]AI MENSUAL'!$J$95</f>
        <v>0</v>
      </c>
      <c r="D31" s="51">
        <f>'[1]AI MENSUAL'!$F$96+'[1]AI MENSUAL'!$G$96+'[1]AI MENSUAL'!$H$96+'[1]AI MENSUAL'!$I$96+'[1]AI MENSUAL'!$J$96</f>
        <v>0</v>
      </c>
      <c r="E31" s="14">
        <f>[4]PRODDER!$T$12+[5]PRODDER!$U$12+[5]PRODDER!$V$12+[5]PRODDER!$W$12+[5]PRODDER!$X$12</f>
        <v>0</v>
      </c>
      <c r="F31" s="15">
        <v>0</v>
      </c>
      <c r="G31" s="53">
        <f t="shared" si="7"/>
        <v>0</v>
      </c>
      <c r="H31" s="16">
        <v>0.64</v>
      </c>
      <c r="I31" s="16">
        <v>0</v>
      </c>
      <c r="J31" s="16">
        <v>0</v>
      </c>
      <c r="K31" s="16">
        <f t="shared" si="3"/>
        <v>0.64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MENSUAL'!$F$89+'[1]AI MENSUAL'!$G$89+'[1]AI MENSUAL'!$H$89+'[1]AI MENSUAL'!$I$89+'[1]AI MENSUAL'!$J$89</f>
        <v>2935385</v>
      </c>
      <c r="D32" s="51">
        <f>'[1]AI MENSUAL'!$F$90+'[1]AI MENSUAL'!$G$90+'[1]AI MENSUAL'!$H$90+'[1]AI MENSUAL'!$I$90+'[1]AI MENSUAL'!$J$90</f>
        <v>79.67</v>
      </c>
      <c r="E32" s="14">
        <f>[4]ISR!$T$47+[5]ISR!$H$47+[5]ISR!$I$47+[5]ISR!$J$47+[5]ISR!$K$47</f>
        <v>2185823.91</v>
      </c>
      <c r="F32" s="15">
        <f>E32/C32</f>
        <v>0.74464641265115139</v>
      </c>
      <c r="G32" s="53">
        <f>C32-E32</f>
        <v>749561.08999999985</v>
      </c>
      <c r="H32" s="16">
        <v>749644.19</v>
      </c>
      <c r="I32" s="16">
        <v>0</v>
      </c>
      <c r="J32" s="16">
        <v>0</v>
      </c>
      <c r="K32" s="16">
        <f t="shared" si="3"/>
        <v>749644.19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575.14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62105.95</v>
      </c>
      <c r="I33" s="19">
        <f>SUM(I34:I46)</f>
        <v>0</v>
      </c>
      <c r="J33" s="19">
        <f>SUM(J34:J46)</f>
        <v>0</v>
      </c>
      <c r="K33" s="19">
        <f>SUM(K34:K46)</f>
        <v>62105.95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61969.11</v>
      </c>
      <c r="I34" s="16">
        <v>0</v>
      </c>
      <c r="J34" s="16">
        <v>0</v>
      </c>
      <c r="K34" s="16">
        <f>+H34+I34-J34</f>
        <v>61969.11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MENSUAL'!$H$54+'[1]AI MENSUAL'!$I$54+'[1]AI MENSUAL'!$J$54</f>
        <v>104.08000000000001</v>
      </c>
      <c r="E35" s="14">
        <v>0</v>
      </c>
      <c r="F35" s="15">
        <v>0</v>
      </c>
      <c r="G35" s="53">
        <f>C35-E35</f>
        <v>0</v>
      </c>
      <c r="H35" s="16">
        <v>136.84</v>
      </c>
      <c r="I35" s="16">
        <v>0</v>
      </c>
      <c r="J35" s="16">
        <v>0</v>
      </c>
      <c r="K35" s="16">
        <f>+H35+I35-J35</f>
        <v>136.84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MENSUAL'!$H$103+'[1]AI MENSUAL'!$I$103+'[1]AI MENSUAL'!$J$103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MENSUAL'!$H$106+'[1]AI MENSUAL'!$I$106+'[1]AI MENSUAL'!$J$106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MENSUAL'!$H$79+'[1]AI MENSUAL'!$I$79+'[1]AI MENSUAL'!$J$79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MENSUAL'!$H$50+'[1]AI MENSUAL'!$I$50+'[1]AI MENSUAL'!$J$50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MENSUAL'!$H$64+'[1]AI MENSUAL'!$I$64+'[1]AI MENSUAL'!$J$64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MENSUAL'!$H$60+'[1]AI MENSUAL'!$I$60+'[1]AI MENSUAL'!$J$60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MENSUAL'!$H$72+'[1]AI MENSUAL'!$I$72+'[1]AI MENSUAL'!$J$72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MENSUAL'!$H$69+'[1]AI MENSUAL'!$I$69+'[1]AI MENSUAL'!$J$69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MENSUAL'!$H$97+'[1]AI MENSUAL'!$I$97+'[1]AI MENSUAL'!$J$97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MENSUAL'!$H$91+'[1]AI MENSUAL'!$I$91+'[1]AI MENSUAL'!$J$91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4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4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4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4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4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2581357.67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2581357.67</v>
      </c>
      <c r="L53" s="50">
        <v>0</v>
      </c>
    </row>
    <row r="54" spans="1:14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2581357.67</v>
      </c>
      <c r="I54" s="16">
        <v>0</v>
      </c>
      <c r="J54" s="16">
        <v>0</v>
      </c>
      <c r="K54" s="16">
        <f t="shared" ref="K54:K55" si="13">+H54+I54-J54</f>
        <v>2581357.67</v>
      </c>
      <c r="L54" s="15">
        <v>0</v>
      </c>
    </row>
    <row r="55" spans="1:14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4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3471.94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3471.94</v>
      </c>
      <c r="L56" s="50">
        <v>0</v>
      </c>
    </row>
    <row r="57" spans="1:14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3471.94</v>
      </c>
      <c r="I57" s="16">
        <v>0</v>
      </c>
      <c r="J57" s="16">
        <v>0</v>
      </c>
      <c r="K57" s="16">
        <f>+H57+I57-J57</f>
        <v>3471.94</v>
      </c>
      <c r="L57" s="15">
        <v>0</v>
      </c>
    </row>
    <row r="58" spans="1:14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4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4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119087692.83</v>
      </c>
      <c r="D60" s="55">
        <f>D14+D21+D33+D47+D53+D56</f>
        <v>6641.0599999999995</v>
      </c>
      <c r="E60" s="55">
        <f>E14+E21+E47+E53+E56</f>
        <v>28168514.459999997</v>
      </c>
      <c r="F60" s="50">
        <f>E60/C60</f>
        <v>0.23653589880367487</v>
      </c>
      <c r="G60" s="55">
        <f>G14+G21+G47+G53+G56</f>
        <v>90919178.370000005</v>
      </c>
      <c r="H60" s="55">
        <f>H14+H21+H33+H47+H53+H56</f>
        <v>25168047.830000002</v>
      </c>
      <c r="I60" s="19">
        <f t="shared" ref="I60" si="17">I14+I21+I47+I53+I56</f>
        <v>0</v>
      </c>
      <c r="J60" s="55">
        <f>J14+J21+J47+J53+J56</f>
        <v>3285462.5</v>
      </c>
      <c r="K60" s="19">
        <f>K14+K21+K47+K53+K56</f>
        <v>21820479.379999999</v>
      </c>
      <c r="L60" s="15">
        <f>E60/B60</f>
        <v>0.17098560285391659</v>
      </c>
    </row>
    <row r="61" spans="1:14" ht="15.75" customHeight="1" x14ac:dyDescent="0.2">
      <c r="B61" s="80"/>
      <c r="C61" s="79">
        <f>'[1]AI MENSUAL'!$F$6+'[1]AI MENSUAL'!$G$6+'[1]AI MENSUAL'!$H$6+'[1]AI MENSUAL'!$I$6+'[1]AI MENSUAL'!$J$6</f>
        <v>119088944.08</v>
      </c>
      <c r="D61" s="79">
        <f>'[1]AI MENSUAL'!$F$145+'[1]AI MENSUAL'!$G$145+'[1]AI MENSUAL'!$H$145+'[1]AI MENSUAL'!$I$145+'[1]AI MENSUAL'!$J$145</f>
        <v>0</v>
      </c>
      <c r="E61" s="79">
        <f>[2]GLOBAL!$G$443+[2]GLOBAL!$H$443+[2]GLOBAL!$I$443+[2]GLOBAL!$J$443+[2]GLOBAL!$K$443</f>
        <v>0</v>
      </c>
      <c r="G61" s="79">
        <f>C60-E60</f>
        <v>90919178.370000005</v>
      </c>
      <c r="H61" s="79">
        <v>25168047.829999998</v>
      </c>
      <c r="I61" s="80"/>
      <c r="J61" s="79">
        <f>[3]Hoja1!$B$9+432486.12+[3]Hoja1!$D$8+[3]Hoja1!$E$8+[3]Hoja1!$F$8</f>
        <v>3285462.5</v>
      </c>
      <c r="K61" s="56"/>
    </row>
    <row r="62" spans="1:14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4" ht="15.75" customHeight="1" x14ac:dyDescent="0.2">
      <c r="C63" s="106"/>
      <c r="D63" s="106"/>
      <c r="E63" s="106"/>
      <c r="F63" s="106"/>
      <c r="G63" s="60"/>
      <c r="H63" s="106"/>
      <c r="I63" s="106"/>
    </row>
    <row r="64" spans="1:14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107" t="s">
        <v>8</v>
      </c>
      <c r="L64" s="1" t="s">
        <v>114</v>
      </c>
      <c r="M64" s="56">
        <f>C61-C60</f>
        <v>1251.25</v>
      </c>
      <c r="N64" s="56">
        <f>M64-D33</f>
        <v>676.11</v>
      </c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L65" s="56"/>
      <c r="M65" s="80"/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[3]Hoja1!$B$18+[3]Hoja1!$C$18+[3]Hoja1!$D$18+[3]Hoja1!$E$18+[3]Hoja1!$F$18</f>
        <v>40611</v>
      </c>
      <c r="H66" s="206"/>
      <c r="I66" s="23">
        <f t="shared" ref="I66:I72" si="18">G66/D66</f>
        <v>0.35938938053097347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[3]Hoja1!$B$28+[3]Hoja1!$C$28+[3]Hoja1!$D$29+[3]Hoja1!$E$28+[3]Hoja1!$F$28</f>
        <v>3535918.6399999997</v>
      </c>
      <c r="H67" s="206"/>
      <c r="I67" s="23">
        <f t="shared" si="18"/>
        <v>0.27551089840847898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[3]Hoja1!$B$39+[3]Hoja1!$C$39+[3]Hoja1!$D$39+[3]Hoja1!$E$39+[3]Hoja1!$E$39+[3]Hoja1!$F$39</f>
        <v>715544.75</v>
      </c>
      <c r="H68" s="206"/>
      <c r="I68" s="23">
        <f t="shared" si="18"/>
        <v>1.6537886842166085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[3]Hoja1!$B$49+[3]Hoja1!$C$49+[3]Hoja1!$D$49+[3]Hoja1!$E$49+[3]Hoja1!$E$49+[3]Hoja1!$F$49</f>
        <v>57520</v>
      </c>
      <c r="H69" s="206"/>
      <c r="I69" s="23">
        <f t="shared" si="18"/>
        <v>0.39944444444444444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[3]Hoja1!$B$59+[3]Hoja1!$C$60+[3]Hoja1!$D$59+[3]Hoja1!$E$59+[3]Hoja1!$F$59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[3]Hoja1!$B$69+[3]Hoja1!$C$69+[3]Hoja1!$D$70+[3]Hoja1!$E$69+[3]Hoja1!$F$69</f>
        <v>7146.76</v>
      </c>
      <c r="H71" s="206"/>
      <c r="I71" s="23">
        <f t="shared" si="18"/>
        <v>5.9413218771955448E-3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4356741.1499999994</v>
      </c>
      <c r="H72" s="206"/>
      <c r="I72" s="23">
        <f t="shared" si="18"/>
        <v>0.22519411221420363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108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108"/>
      <c r="C76" s="108"/>
      <c r="D76" s="108"/>
      <c r="G76" s="62"/>
      <c r="H76" s="109"/>
      <c r="J76" s="109"/>
      <c r="K76" s="109"/>
    </row>
    <row r="77" spans="1:15" s="27" customFormat="1" ht="15.75" customHeight="1" x14ac:dyDescent="0.3">
      <c r="B77" s="212" t="s">
        <v>109</v>
      </c>
      <c r="C77" s="212"/>
      <c r="D77" s="111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111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112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103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110"/>
      <c r="B91" s="110"/>
      <c r="C91" s="110"/>
      <c r="D91" s="110"/>
      <c r="E91" s="110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2:I62"/>
    <mergeCell ref="B64:C64"/>
    <mergeCell ref="D64:F64"/>
    <mergeCell ref="G64:H64"/>
    <mergeCell ref="B65:C65"/>
    <mergeCell ref="D65:F65"/>
    <mergeCell ref="G65:H65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77:C77"/>
    <mergeCell ref="F77:H77"/>
    <mergeCell ref="J77:K77"/>
    <mergeCell ref="B78:C78"/>
    <mergeCell ref="F78:H78"/>
    <mergeCell ref="J78:K78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E136:T136"/>
    <mergeCell ref="E104:L104"/>
    <mergeCell ref="E106:L106"/>
    <mergeCell ref="E108:L108"/>
    <mergeCell ref="E122:L122"/>
    <mergeCell ref="E134:T134"/>
    <mergeCell ref="E135:T135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47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03"/>
      <c r="B6" s="103"/>
      <c r="C6" s="103"/>
      <c r="D6" s="103"/>
      <c r="E6" s="103"/>
      <c r="F6" s="103"/>
      <c r="G6" s="7"/>
      <c r="H6" s="103"/>
      <c r="I6" s="103"/>
      <c r="J6" s="103"/>
      <c r="K6" s="103"/>
      <c r="L6" s="103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04"/>
      <c r="B8" s="104"/>
      <c r="C8" s="104"/>
      <c r="D8" s="104"/>
      <c r="E8" s="104"/>
      <c r="F8" s="104"/>
      <c r="G8" s="58"/>
      <c r="H8" s="104"/>
      <c r="I8" s="104"/>
      <c r="J8" s="104"/>
      <c r="K8" s="104"/>
      <c r="L8" s="104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03"/>
      <c r="E9" s="103"/>
      <c r="F9" s="103"/>
      <c r="G9" s="7"/>
      <c r="H9" s="103"/>
      <c r="I9" s="103"/>
      <c r="J9" s="103"/>
      <c r="K9" s="103"/>
      <c r="L9" s="103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05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79129515.090000004</v>
      </c>
      <c r="D14" s="55">
        <f>SUM(D15:D20)</f>
        <v>5921.0599999999995</v>
      </c>
      <c r="E14" s="19">
        <f>SUM(E15:E20)</f>
        <v>0</v>
      </c>
      <c r="F14" s="50">
        <f>E14/C14</f>
        <v>0</v>
      </c>
      <c r="G14" s="54">
        <f>C14-E14</f>
        <v>79129515.090000004</v>
      </c>
      <c r="H14" s="19">
        <f>SUM(H15:H20)</f>
        <v>-561611.49</v>
      </c>
      <c r="I14" s="19">
        <f>SUM(I15:I20)</f>
        <v>0</v>
      </c>
      <c r="J14" s="19">
        <f t="shared" ref="J14" si="0">SUM(J15:J20)</f>
        <v>1024219.56</v>
      </c>
      <c r="K14" s="20">
        <f>+H14+I14-J14</f>
        <v>-1585831.05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MENSUAL'!$H$10+'[1]AI MENSUAL'!$I$10+'[1]AI MENSUAL'!$J$10+'[1]AI MENSUAL'!$K$10</f>
        <v>70902859.770000011</v>
      </c>
      <c r="D15" s="51">
        <v>0</v>
      </c>
      <c r="E15" s="51">
        <f>[2]REPO!$G$206+[2]REPO!$H$206+[2]REPO!$I$206+[2]REPO!$J$206+[2]REPO!$K$206+[2]REPO!$L$206</f>
        <v>0</v>
      </c>
      <c r="F15" s="15">
        <f>E15/C15</f>
        <v>0</v>
      </c>
      <c r="G15" s="53">
        <f>C15-E15</f>
        <v>70902859.770000011</v>
      </c>
      <c r="H15" s="16">
        <v>-561611.49</v>
      </c>
      <c r="I15" s="16">
        <v>0</v>
      </c>
      <c r="J15" s="16">
        <f>[3]Hoja1!$B$3+[3]Hoja1!$C$3+[3]Hoja1!$D$3+[3]Hoja1!$E$3+[3]Hoja1!$F$3+[3]Hoja1!$G$3</f>
        <v>1024219.56</v>
      </c>
      <c r="K15" s="16">
        <f>+H15+I15-J15</f>
        <v>-1585831.05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MENSUAL'!$H$30+'[1]AI MENSUAL'!$I$30+'[1]AI MENSUAL'!$J$30+'[1]AI MENSUAL'!$K$30</f>
        <v>5190430.66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5190430.66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MENSUAL'!$F$39+'[1]AI MENSUAL'!$G$39+'[1]AI MENSUAL'!$H$39+'[1]AI MENSUAL'!$I$39+'[1]AI MENSUAL'!$J$39+'[1]AI MENSUAL'!$K$39</f>
        <v>3030303.6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3030303.6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MENSUAL'!$F$35+'[1]AI MENSUAL'!$G$35+'[1]AI MENSUAL'!$H$35+'[1]AI MENSUAL'!$I$35+'[1]AI MENSUAL'!$J$35+'[1]AI MENSUAL'!$K$35</f>
        <v>5921.0599999999995</v>
      </c>
      <c r="D18" s="51">
        <f>'[1]AI MENSUAL'!$F$35+'[1]AI MENSUAL'!$G$35+'[1]AI MENSUAL'!$H$35+'[1]AI MENSUAL'!$I$35+'[1]AI MENSUAL'!$J$35+'[1]AI MENSUAL'!$K$35</f>
        <v>5921.0599999999995</v>
      </c>
      <c r="E18" s="14">
        <v>0</v>
      </c>
      <c r="F18" s="15">
        <f t="shared" si="2"/>
        <v>0</v>
      </c>
      <c r="G18" s="53">
        <f t="shared" si="4"/>
        <v>5921.0599999999995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51292989.409999989</v>
      </c>
      <c r="D21" s="55">
        <f>SUM(D22:D32)</f>
        <v>1044.8400000000001</v>
      </c>
      <c r="E21" s="19">
        <f>SUM(E22:E32)</f>
        <v>36376759.75</v>
      </c>
      <c r="F21" s="50">
        <f>E21/C21</f>
        <v>0.70919554832785892</v>
      </c>
      <c r="G21" s="54">
        <f>C21-E21</f>
        <v>14916229.659999989</v>
      </c>
      <c r="H21" s="19">
        <f>SUM(H22:H32)</f>
        <v>15521238.060000004</v>
      </c>
      <c r="I21" s="19">
        <f t="shared" ref="I21:K21" si="5">SUM(I22:I32)</f>
        <v>0</v>
      </c>
      <c r="J21" s="19">
        <f t="shared" si="5"/>
        <v>3022612.57</v>
      </c>
      <c r="K21" s="19">
        <f t="shared" si="5"/>
        <v>12498625.490000002</v>
      </c>
      <c r="L21" s="50">
        <f>E21/B21</f>
        <v>0.4616378617730082</v>
      </c>
      <c r="M21" s="1">
        <v>14959626.57</v>
      </c>
      <c r="N21" s="101">
        <f>M21-H21</f>
        <v>-561611.49000000395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MENSUAL'!$F$52+'[1]AI MENSUAL'!$G$52+'[1]AI MENSUAL'!$H$52+'[1]AI MENSUAL'!$I$52+'[1]AI MENSUAL'!$J$52+'[1]AI MENSUAL'!$K$52</f>
        <v>20155224.280000001</v>
      </c>
      <c r="D22" s="51">
        <f>'[1]AI MENSUAL'!$F$53+'[1]AI MENSUAL'!$G$53+'[1]AI MENSUAL'!$H$53+'[1]AI MENSUAL'!$I$53+'[1]AI MENSUAL'!$J$53+'[1]AI MENSUAL'!$K$53</f>
        <v>726.49</v>
      </c>
      <c r="E22" s="14">
        <f>[4]FGP!$T$27+[5]FGP!$H$27+[5]FGP!$I$27+[5]FGP!$J$27+[5]FGP!$K$27+[5]FGP!$L$27</f>
        <v>16637601.189999998</v>
      </c>
      <c r="F22" s="15">
        <f>E22/C22</f>
        <v>0.82547338391612268</v>
      </c>
      <c r="G22" s="53">
        <f>C22-E22</f>
        <v>3517623.0900000036</v>
      </c>
      <c r="H22" s="16">
        <v>3915507.59</v>
      </c>
      <c r="I22" s="16">
        <v>0</v>
      </c>
      <c r="J22" s="16">
        <f>[3]Hoja1!$B$4+[3]Hoja1!$C$4+[3]Hoja1!$D$4+[3]Hoja1!$E$4+[3]Hoja1!$F$4+[3]Hoja1!$G$4</f>
        <v>2216475.71</v>
      </c>
      <c r="K22" s="16">
        <f>+H22+I22-J22</f>
        <v>1699031.88</v>
      </c>
      <c r="L22" s="15">
        <f>E22/B22</f>
        <v>0.57920663742574308</v>
      </c>
      <c r="M22" s="79">
        <f>[3]Hoja1!$B$9+432486.12+[3]Hoja1!$D$8+[3]Hoja1!$E$8+[3]Hoja1!$F$8+[3]Hoja1!$G$8</f>
        <v>4046832.13</v>
      </c>
      <c r="N22" s="101">
        <f>M22-J21</f>
        <v>1024219.56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MENSUAL'!$F$101+'[1]AI MENSUAL'!$G$101+'[1]AI MENSUAL'!$H$101+'[1]AI MENSUAL'!$I$101+'[1]AI MENSUAL'!$J$101+'[1]AI MENSUAL'!$K$101</f>
        <v>4465244.4000000004</v>
      </c>
      <c r="D23" s="51">
        <f>'[1]AI MENSUAL'!$F$102+'[1]AI MENSUAL'!$G$102+'[1]AI MENSUAL'!$H$102+'[1]AI MENSUAL'!$I$102+'[1]AI MENSUAL'!$J$102+'[1]AI MENSUAL'!$K$102</f>
        <v>122.82000000000002</v>
      </c>
      <c r="E23" s="14">
        <f>[4]FISM!$T$55+[5]FISM!$H$55+[5]FISM!$I$55+[5]FISM!$J$55+[5]FISM!$K$55+[5]FISM!$L$55</f>
        <v>0</v>
      </c>
      <c r="F23" s="15">
        <f t="shared" ref="F23:F29" si="6">E23/C23</f>
        <v>0</v>
      </c>
      <c r="G23" s="53">
        <f t="shared" ref="G23:G31" si="7">C23-E23</f>
        <v>4465244.4000000004</v>
      </c>
      <c r="H23" s="16">
        <v>4465769.49</v>
      </c>
      <c r="I23" s="16">
        <v>0</v>
      </c>
      <c r="J23" s="16">
        <v>0</v>
      </c>
      <c r="K23" s="16">
        <f t="shared" si="3"/>
        <v>4465769.49</v>
      </c>
      <c r="L23" s="15">
        <f t="shared" si="1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MENSUAL'!$F$104+'[1]AI MENSUAL'!$G$104+'[1]AI MENSUAL'!$H$104+'[1]AI MENSUAL'!$I$104+'[1]AI MENSUAL'!$J$104+'[1]AI MENSUAL'!$K$104</f>
        <v>13824697.559999999</v>
      </c>
      <c r="D24" s="51">
        <f>'[1]AI MENSUAL'!$F$105+'[1]AI MENSUAL'!$G$105+'[1]AI MENSUAL'!$H$105+'[1]AI MENSUAL'!$I$105+'[1]AI MENSUAL'!$J$105+'[1]AI MENSUAL'!$K$105</f>
        <v>0</v>
      </c>
      <c r="E24" s="14">
        <f>[5]FORTAMUN!$G$32+[5]FORTAMUN!$H$32+[5]FORTAMUN!$I$32+[5]FORTAMUN!$J$32+[5]FORTAMUN!$K$32+[5]FORTAMUN!$L$32</f>
        <v>9873683.3199999984</v>
      </c>
      <c r="F24" s="15">
        <f t="shared" si="6"/>
        <v>0.7142060994208107</v>
      </c>
      <c r="G24" s="53">
        <f>C24-E24</f>
        <v>3951014.24</v>
      </c>
      <c r="H24" s="16">
        <v>4155349.04</v>
      </c>
      <c r="I24" s="16">
        <v>0</v>
      </c>
      <c r="J24" s="16">
        <f>[3]Hoja1!$B$5+[3]Hoja1!$C$5+[3]Hoja1!$D$5+[3]Hoja1!$E$5+[3]Hoja1!$F$5+[3]Hoja1!$G$5</f>
        <v>789315.23</v>
      </c>
      <c r="K24" s="16">
        <f t="shared" si="3"/>
        <v>3366033.81</v>
      </c>
      <c r="L24" s="15">
        <f t="shared" si="1"/>
        <v>0.36873747320461586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MENSUAL'!$F$77+'[1]AI MENSUAL'!$G$77+'[1]AI MENSUAL'!$H$77+'[1]AI MENSUAL'!$I$77+'[1]AI MENSUAL'!$J$77+'[1]AI MENSUAL'!$K$77</f>
        <v>953466.26</v>
      </c>
      <c r="D25" s="51">
        <f>'[1]AI MENSUAL'!$F$78+'[1]AI MENSUAL'!$G$78+'[1]AI MENSUAL'!$H$78+'[1]AI MENSUAL'!$I$78+'[1]AI MENSUAL'!$J$78+'[1]AI MENSUAL'!$K$78</f>
        <v>12.02</v>
      </c>
      <c r="E25" s="14">
        <f>[4]FFR!$T$25+[5]FFR!$H$25+[5]FFR!$I$25+[5]FFR!$J$25+[5]FFR!$K$25+[5]FFR!$L$25</f>
        <v>259349.31</v>
      </c>
      <c r="F25" s="15">
        <f t="shared" si="6"/>
        <v>0.27200680389047011</v>
      </c>
      <c r="G25" s="53">
        <f t="shared" si="7"/>
        <v>694116.95</v>
      </c>
      <c r="H25" s="16">
        <v>696175.23</v>
      </c>
      <c r="I25" s="16">
        <v>0</v>
      </c>
      <c r="J25" s="16">
        <f>[3]Hoja1!$B$6+[3]Hoja1!$C$6+[3]Hoja1!$D$6+[3]Hoja1!$E$6+[3]Hoja1!$F$6+[3]Hoja1!$G$6</f>
        <v>16821.63</v>
      </c>
      <c r="K25" s="16">
        <f t="shared" si="3"/>
        <v>679353.6</v>
      </c>
      <c r="L25" s="15">
        <f t="shared" si="1"/>
        <v>0.22322156876077487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MENSUAL'!$F$48+'[1]AI MENSUAL'!$G$48+'[1]AI MENSUAL'!$H$48+'[1]AI MENSUAL'!$I$48+'[1]AI MENSUAL'!$J$48+'[1]AI MENSUAL'!$K$48</f>
        <v>6988547.629999999</v>
      </c>
      <c r="D26" s="51">
        <f>'[1]AI MENSUAL'!$F$49+'[1]AI MENSUAL'!$G$49+'[1]AI MENSUAL'!$H$49+'[1]AI MENSUAL'!$I$49+'[1]AI MENSUAL'!$J$49+'[1]AI MENSUAL'!$K$49</f>
        <v>78.58</v>
      </c>
      <c r="E26" s="14">
        <f>[4]FFM!$G$21+[5]FFM!$H$21+[5]FFM!$I$21+[5]FFM!$J$21+[5]FFM!$K$21+[5]FFM!$L$21</f>
        <v>5311680.09</v>
      </c>
      <c r="F26" s="15">
        <f t="shared" si="6"/>
        <v>0.76005493147078984</v>
      </c>
      <c r="G26" s="53">
        <f t="shared" si="7"/>
        <v>1676867.5399999991</v>
      </c>
      <c r="H26" s="16">
        <v>1676962.8</v>
      </c>
      <c r="I26" s="16">
        <v>0</v>
      </c>
      <c r="J26" s="16">
        <v>0</v>
      </c>
      <c r="K26" s="16">
        <f t="shared" si="3"/>
        <v>1676962.8</v>
      </c>
      <c r="L26" s="15">
        <f t="shared" si="1"/>
        <v>0.43238643169108038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MENSUAL'!$F$62+'[1]AI MENSUAL'!$G$62+'[1]AI MENSUAL'!$H$62+'[1]AI MENSUAL'!$I$62+'[1]AI MENSUAL'!$J$62+'[1]AI MENSUAL'!$K$62</f>
        <v>486439.69000000006</v>
      </c>
      <c r="D27" s="51">
        <f>'[1]AI MENSUAL'!$F$63+'[1]AI MENSUAL'!$G$63+'[1]AI MENSUAL'!$H$63+'[1]AI MENSUAL'!$I$63+'[1]AI MENSUAL'!$J$63+'[1]AI MENSUAL'!$K$63</f>
        <v>0.79</v>
      </c>
      <c r="E27" s="14">
        <f>'[4]IEPS TAB'!$G$11+'[5]IEPS TAB'!$H$11+'[5]IEPS TAB'!$I$11+'[5]IEPS TAB'!$J$11+'[5]IEPS TAB'!$K$11+'[5]IEPS TAB'!$L$11</f>
        <v>486212.13</v>
      </c>
      <c r="F27" s="15">
        <f t="shared" si="6"/>
        <v>0.99953219277810157</v>
      </c>
      <c r="G27" s="53">
        <f t="shared" si="7"/>
        <v>227.56000000005588</v>
      </c>
      <c r="H27" s="16">
        <v>228.55</v>
      </c>
      <c r="I27" s="16">
        <v>0</v>
      </c>
      <c r="J27" s="16">
        <v>0</v>
      </c>
      <c r="K27" s="16">
        <f t="shared" si="3"/>
        <v>228.55</v>
      </c>
      <c r="L27" s="15">
        <f t="shared" si="1"/>
        <v>0.76069297682932557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MENSUAL'!$F$58+'[1]AI MENSUAL'!$G$58+'[1]AI MENSUAL'!$H$58+'[1]AI MENSUAL'!$I$58+'[1]AI MENSUAL'!$J$58+'[1]AI MENSUAL'!$K$58</f>
        <v>746735.21</v>
      </c>
      <c r="D28" s="51">
        <f>'[1]AI MENSUAL'!$F$59+'[1]AI MENSUAL'!$G$59+'[1]AI MENSUAL'!$H$59+'[1]AI MENSUAL'!$I$59+'[1]AI MENSUAL'!$J$59+'[1]AI MENSUAL'!$K$59</f>
        <v>3.2</v>
      </c>
      <c r="E28" s="14">
        <f>'[4]IEPS GAS'!$G$11+'[5]IEPS GAS'!$H$11+'[5]IEPS GAS'!$I$11+'[5]IEPS GAS'!$J$11+'[5]IEPS GAS'!$K$11+'[5]IEPS GAS'!$L$11</f>
        <v>743643.90999999992</v>
      </c>
      <c r="F28" s="15">
        <f t="shared" si="6"/>
        <v>0.99586024609714063</v>
      </c>
      <c r="G28" s="53">
        <f t="shared" si="7"/>
        <v>3091.3000000000466</v>
      </c>
      <c r="H28" s="16">
        <v>3094.99</v>
      </c>
      <c r="I28" s="16">
        <v>0</v>
      </c>
      <c r="J28" s="16">
        <v>0</v>
      </c>
      <c r="K28" s="16">
        <f t="shared" si="3"/>
        <v>3094.99</v>
      </c>
      <c r="L28" s="15">
        <f t="shared" si="1"/>
        <v>0.56118986205022936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MENSUAL'!$F$70+'[1]AI MENSUAL'!$G$70+'[1]AI MENSUAL'!$H$70+'[1]AI MENSUAL'!$I$70+'[1]AI MENSUAL'!$J$70+'[1]AI MENSUAL'!$K$70</f>
        <v>47734.8</v>
      </c>
      <c r="D29" s="51">
        <f>'[1]AI MENSUAL'!$F$71+'[1]AI MENSUAL'!$G$71+'[1]AI MENSUAL'!$H$71+'[1]AI MENSUAL'!$I$71+'[1]AI MENSUAL'!$J$71+'[1]AI MENSUAL'!$K$71</f>
        <v>0.19</v>
      </c>
      <c r="E29" s="14">
        <f>[4]CISAN!$G$11+[5]CISAN!$H$11+[5]CISAN!$I$11+[5]CISAN!$J$11+[5]CISAN!$K$11+[5]CISAN!$L$11</f>
        <v>39522.28</v>
      </c>
      <c r="F29" s="15">
        <f t="shared" si="6"/>
        <v>0.82795528629008597</v>
      </c>
      <c r="G29" s="53">
        <f t="shared" si="7"/>
        <v>8212.5200000000041</v>
      </c>
      <c r="H29" s="16">
        <v>8212.73</v>
      </c>
      <c r="I29" s="16">
        <v>0</v>
      </c>
      <c r="J29" s="16">
        <v>0</v>
      </c>
      <c r="K29" s="16">
        <f t="shared" si="3"/>
        <v>8212.73</v>
      </c>
      <c r="L29" s="15">
        <f t="shared" si="1"/>
        <v>0.78871043703851529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MENSUAL'!$F$67+'[1]AI MENSUAL'!$G$67+'[1]AI MENSUAL'!$H$67+'[1]AI MENSUAL'!$I$67+'[1]AI MENSUAL'!$J$67+'[1]AI MENSUAL'!$K$67</f>
        <v>340062.57999999996</v>
      </c>
      <c r="D30" s="51">
        <f>'[1]AI MENSUAL'!$F$68+'[1]AI MENSUAL'!$G$68+'[1]AI MENSUAL'!$H$68+'[1]AI MENSUAL'!$I$68+'[1]AI MENSUAL'!$J$68+'[1]AI MENSUAL'!$K$68</f>
        <v>0.75</v>
      </c>
      <c r="E30" s="14">
        <f>[4]ISAN!$G$11+[5]ISAN!$H$11+[5]ISAN!$I$11+[5]ISAN!$J$11+[5]ISAN!$K$11+[5]ISAN!$L$11</f>
        <v>280084.28000000003</v>
      </c>
      <c r="F30" s="15">
        <f>E30/C30</f>
        <v>0.82362569854054524</v>
      </c>
      <c r="G30" s="53">
        <f>C30-E30</f>
        <v>59978.29999999993</v>
      </c>
      <c r="H30" s="16">
        <v>59979.81</v>
      </c>
      <c r="I30" s="16">
        <v>0</v>
      </c>
      <c r="J30" s="16">
        <v>0</v>
      </c>
      <c r="K30" s="16">
        <f t="shared" si="3"/>
        <v>59979.81</v>
      </c>
      <c r="L30" s="15">
        <f>E30/B30</f>
        <v>1.2322283863985324</v>
      </c>
    </row>
    <row r="31" spans="1:14" ht="15.75" customHeight="1" x14ac:dyDescent="0.25">
      <c r="A31" s="17" t="s">
        <v>95</v>
      </c>
      <c r="B31" s="78">
        <v>0</v>
      </c>
      <c r="C31" s="51">
        <f>'[1]AI MENSUAL'!$F$95+'[1]AI MENSUAL'!$G$95+'[1]AI MENSUAL'!$H$95+'[1]AI MENSUAL'!$I$95+'[1]AI MENSUAL'!$J$95+'[1]AI MENSUAL'!$K$95</f>
        <v>0</v>
      </c>
      <c r="D31" s="51">
        <f>'[1]AI MENSUAL'!$F$96+'[1]AI MENSUAL'!$G$96+'[1]AI MENSUAL'!$H$96+'[1]AI MENSUAL'!$I$96+'[1]AI MENSUAL'!$J$96+'[1]AI MENSUAL'!$K$96</f>
        <v>0</v>
      </c>
      <c r="E31" s="14">
        <f>[4]PRODDER!$T$12+[5]PRODDER!$U$12+[5]PRODDER!$V$12+[5]PRODDER!$W$12+[5]PRODDER!$X$12+[5]PRODDER!$Y$12</f>
        <v>0</v>
      </c>
      <c r="F31" s="15">
        <v>0</v>
      </c>
      <c r="G31" s="53">
        <f t="shared" si="7"/>
        <v>0</v>
      </c>
      <c r="H31" s="16">
        <v>0.64</v>
      </c>
      <c r="I31" s="16">
        <v>0</v>
      </c>
      <c r="J31" s="16">
        <v>0</v>
      </c>
      <c r="K31" s="16">
        <f t="shared" si="3"/>
        <v>0.64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MENSUAL'!$F$89+'[1]AI MENSUAL'!$G$89+'[1]AI MENSUAL'!$H$89+'[1]AI MENSUAL'!$I$89+'[1]AI MENSUAL'!$J$89+'[1]AI MENSUAL'!$K$89</f>
        <v>3284837</v>
      </c>
      <c r="D32" s="51">
        <f>'[1]AI MENSUAL'!$F$90+'[1]AI MENSUAL'!$G$90+'[1]AI MENSUAL'!$H$90+'[1]AI MENSUAL'!$I$90+'[1]AI MENSUAL'!$J$90+'[1]AI MENSUAL'!$K$90</f>
        <v>100</v>
      </c>
      <c r="E32" s="14">
        <f>[4]ISR!$T$47+[5]ISR!$H$47+[5]ISR!$I$47+[5]ISR!$J$47+[5]ISR!$K$47+[5]ISR!$L$47</f>
        <v>2744983.24</v>
      </c>
      <c r="F32" s="15">
        <f>E32/C32</f>
        <v>0.83565280103700734</v>
      </c>
      <c r="G32" s="53">
        <f>C32-E32</f>
        <v>539853.75999999978</v>
      </c>
      <c r="H32" s="16">
        <v>539957.18999999994</v>
      </c>
      <c r="I32" s="16">
        <v>0</v>
      </c>
      <c r="J32" s="16">
        <v>0</v>
      </c>
      <c r="K32" s="16">
        <f t="shared" si="3"/>
        <v>539957.18999999994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579.51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62112.12</v>
      </c>
      <c r="I33" s="19">
        <f>SUM(I34:I46)</f>
        <v>0</v>
      </c>
      <c r="J33" s="19">
        <f>SUM(J34:J46)</f>
        <v>0</v>
      </c>
      <c r="K33" s="19">
        <f>SUM(K34:K46)</f>
        <v>62112.12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61970.91</v>
      </c>
      <c r="I34" s="16">
        <v>0</v>
      </c>
      <c r="J34" s="16">
        <v>0</v>
      </c>
      <c r="K34" s="16">
        <f>+H34+I34-J34</f>
        <v>61970.91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MENSUAL'!$H$54+'[1]AI MENSUAL'!$I$54+'[1]AI MENSUAL'!$J$54+'[1]AI MENSUAL'!$K$54</f>
        <v>108.45000000000002</v>
      </c>
      <c r="E35" s="14">
        <v>0</v>
      </c>
      <c r="F35" s="15">
        <v>0</v>
      </c>
      <c r="G35" s="53">
        <f>C35-E35</f>
        <v>0</v>
      </c>
      <c r="H35" s="16">
        <v>141.21</v>
      </c>
      <c r="I35" s="16">
        <v>0</v>
      </c>
      <c r="J35" s="16">
        <v>0</v>
      </c>
      <c r="K35" s="16">
        <f>+H35+I35-J35</f>
        <v>141.21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MENSUAL'!$H$103+'[1]AI MENSUAL'!$I$103+'[1]AI MENSUAL'!$J$103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MENSUAL'!$H$106+'[1]AI MENSUAL'!$I$106+'[1]AI MENSUAL'!$J$106+'[1]AI MENSUAL'!$K$106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MENSUAL'!$H$79+'[1]AI MENSUAL'!$I$79+'[1]AI MENSUAL'!$J$79+'[1]AI MENSUAL'!$K$79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MENSUAL'!$H$50+'[1]AI MENSUAL'!$I$50+'[1]AI MENSUAL'!$J$50+'[1]AI MENSUAL'!$K$50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MENSUAL'!$H$64+'[1]AI MENSUAL'!$I$64+'[1]AI MENSUAL'!$J$64+'[1]AI MENSUAL'!$K$64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MENSUAL'!$H$60+'[1]AI MENSUAL'!$I$60+'[1]AI MENSUAL'!$J$60+'[1]AI MENSUAL'!$K$60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MENSUAL'!$H$72+'[1]AI MENSUAL'!$I$72+'[1]AI MENSUAL'!$J$72+'[1]AI MENSUAL'!$K$72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MENSUAL'!$H$69+'[1]AI MENSUAL'!$I$69+'[1]AI MENSUAL'!$J$69+'[1]AI MENSUAL'!$K$69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MENSUAL'!$H$97+'[1]AI MENSUAL'!$I$97+'[1]AI MENSUAL'!$J$97+'[1]AI MENSUAL'!$K$97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MENSUAL'!$H$91+'[1]AI MENSUAL'!$I$91+'[1]AI MENSUAL'!$J$91+'[1]AI MENSUAL'!$K$91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5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5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5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5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5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2581402.6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2581402.6</v>
      </c>
      <c r="L53" s="50">
        <v>0</v>
      </c>
    </row>
    <row r="54" spans="1:15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2581402.6</v>
      </c>
      <c r="I54" s="16">
        <v>0</v>
      </c>
      <c r="J54" s="16">
        <v>0</v>
      </c>
      <c r="K54" s="16">
        <f t="shared" ref="K54:K55" si="13">+H54+I54-J54</f>
        <v>2581402.6</v>
      </c>
      <c r="L54" s="15">
        <v>0</v>
      </c>
    </row>
    <row r="55" spans="1:15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5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3471.94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3471.94</v>
      </c>
      <c r="L56" s="50">
        <v>0</v>
      </c>
    </row>
    <row r="57" spans="1:15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3471.94</v>
      </c>
      <c r="I57" s="16">
        <v>0</v>
      </c>
      <c r="J57" s="16">
        <v>0</v>
      </c>
      <c r="K57" s="16">
        <f>+H57+I57-J57</f>
        <v>3471.94</v>
      </c>
      <c r="L57" s="15">
        <v>0</v>
      </c>
    </row>
    <row r="58" spans="1:15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5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5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130422504.5</v>
      </c>
      <c r="D60" s="55">
        <f>D14+D21+D33+D47+D53+D56</f>
        <v>7545.41</v>
      </c>
      <c r="E60" s="55">
        <f>E14+E21+E47+E53+E56</f>
        <v>36376759.75</v>
      </c>
      <c r="F60" s="50">
        <f>E60/C60</f>
        <v>0.27891474626604795</v>
      </c>
      <c r="G60" s="55">
        <f>G14+G21+G47+G53+G56</f>
        <v>94045744.75</v>
      </c>
      <c r="H60" s="55">
        <f>H14+H21+H33+H47+H53+H56</f>
        <v>17606613.230000004</v>
      </c>
      <c r="I60" s="19">
        <f t="shared" ref="I60" si="17">I14+I21+I47+I53+I56</f>
        <v>0</v>
      </c>
      <c r="J60" s="55">
        <f>J14+J21+J47+J53+J56</f>
        <v>4046832.13</v>
      </c>
      <c r="K60" s="19">
        <f>K14+K21+K47+K53+K56</f>
        <v>13497668.98</v>
      </c>
      <c r="L60" s="15">
        <f>E60/B60</f>
        <v>0.22081044439025196</v>
      </c>
    </row>
    <row r="61" spans="1:15" ht="15.75" customHeight="1" x14ac:dyDescent="0.2">
      <c r="B61" s="80"/>
      <c r="C61" s="79">
        <f>'[1]AI MENSUAL'!$F$6+'[1]AI MENSUAL'!$G$6+'[1]AI MENSUAL'!$H$6+'[1]AI MENSUAL'!$I$6+'[1]AI MENSUAL'!$J$6+'[1]AI MENSUAL'!$K$6</f>
        <v>130424128.84999999</v>
      </c>
      <c r="D61" s="79">
        <f>'[1]AI MENSUAL'!$F$145+'[1]AI MENSUAL'!$G$145+'[1]AI MENSUAL'!$H$145+'[1]AI MENSUAL'!$I$145+'[1]AI MENSUAL'!$J$145+'[1]AI MENSUAL'!$K$145</f>
        <v>0</v>
      </c>
      <c r="E61" s="79">
        <f>[2]GLOBAL!$G$443+[2]GLOBAL!$H$443+[2]GLOBAL!$I$443+[2]GLOBAL!$J$443+[2]GLOBAL!$K$443+[2]GLOBAL!$L$443</f>
        <v>0</v>
      </c>
      <c r="G61" s="79">
        <f>C60-E60</f>
        <v>94045744.75</v>
      </c>
      <c r="H61" s="79">
        <v>17606613.23</v>
      </c>
      <c r="I61" s="80"/>
      <c r="J61" s="79">
        <f>[3]Hoja1!$B$9+432486.12+[3]Hoja1!$D$8+[3]Hoja1!$E$8+[3]Hoja1!$F$8+[3]Hoja1!$G$8</f>
        <v>4046832.13</v>
      </c>
      <c r="K61" s="56"/>
    </row>
    <row r="62" spans="1:15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5" ht="15.75" customHeight="1" x14ac:dyDescent="0.2">
      <c r="C63" s="106"/>
      <c r="D63" s="106"/>
      <c r="E63" s="106"/>
      <c r="F63" s="106"/>
      <c r="G63" s="60"/>
      <c r="H63" s="106"/>
      <c r="I63" s="106"/>
    </row>
    <row r="64" spans="1:15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107" t="s">
        <v>8</v>
      </c>
      <c r="L64" s="1" t="s">
        <v>114</v>
      </c>
      <c r="M64" s="56">
        <f>C61-C60</f>
        <v>1624.3499999940395</v>
      </c>
      <c r="N64" s="56">
        <f>M64-D33</f>
        <v>1044.8399999940395</v>
      </c>
      <c r="O64" s="56"/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L65" s="56"/>
      <c r="M65" s="80"/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[3]Hoja1!$B$18+[3]Hoja1!$C$18+[3]Hoja1!$D$18+[3]Hoja1!$E$18+[3]Hoja1!$F$18+[3]Hoja1!$G$18</f>
        <v>40611</v>
      </c>
      <c r="H66" s="206"/>
      <c r="I66" s="23">
        <f t="shared" ref="I66:I72" si="18">G66/D66</f>
        <v>0.35938938053097347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[3]Hoja1!$B$28+[3]Hoja1!$C$28+[3]Hoja1!$D$29+[3]Hoja1!$E$28+[3]Hoja1!$F$28+[3]Hoja1!$G$28</f>
        <v>4702845.6399999997</v>
      </c>
      <c r="H67" s="206"/>
      <c r="I67" s="23">
        <f t="shared" si="18"/>
        <v>0.36643524901715452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[3]Hoja1!$B$39+[3]Hoja1!$C$39+[3]Hoja1!$D$39+[3]Hoja1!$E$39+[3]Hoja1!$E$39+[3]Hoja1!$F$39+[3]Hoja1!$G$39</f>
        <v>833371.81</v>
      </c>
      <c r="H68" s="206"/>
      <c r="I68" s="23">
        <f t="shared" si="18"/>
        <v>1.9261141516629303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[3]Hoja1!$B$49+[3]Hoja1!$C$49+[3]Hoja1!$D$49+[3]Hoja1!$E$49+[3]Hoja1!$E$49+[3]Hoja1!$F$49</f>
        <v>57520</v>
      </c>
      <c r="H69" s="206"/>
      <c r="I69" s="23">
        <f t="shared" si="18"/>
        <v>0.39944444444444444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[3]Hoja1!$B$59+[3]Hoja1!$C$60+[3]Hoja1!$D$59+[3]Hoja1!$E$59+[3]Hoja1!$F$59+[3]Hoja1!$G$59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[3]Hoja1!$B$69+[3]Hoja1!$C$69+[3]Hoja1!$D$70+[3]Hoja1!$E$69+[3]Hoja1!$F$69+[3]Hoja1!$G$49+[3]Hoja1!$G$69</f>
        <v>7146.76</v>
      </c>
      <c r="H71" s="206"/>
      <c r="I71" s="23">
        <f t="shared" si="18"/>
        <v>5.9413218771955448E-3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5641495.209999999</v>
      </c>
      <c r="H72" s="206"/>
      <c r="I72" s="23">
        <f t="shared" si="18"/>
        <v>0.29160132806527472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108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108"/>
      <c r="C76" s="108"/>
      <c r="D76" s="108"/>
      <c r="G76" s="62"/>
      <c r="H76" s="109"/>
      <c r="J76" s="109"/>
      <c r="K76" s="109"/>
    </row>
    <row r="77" spans="1:15" s="27" customFormat="1" ht="15.75" customHeight="1" x14ac:dyDescent="0.3">
      <c r="B77" s="212" t="s">
        <v>109</v>
      </c>
      <c r="C77" s="212"/>
      <c r="D77" s="111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111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112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103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110"/>
      <c r="B91" s="110"/>
      <c r="C91" s="110"/>
      <c r="D91" s="110"/>
      <c r="E91" s="110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2:I62"/>
    <mergeCell ref="B64:C64"/>
    <mergeCell ref="D64:F64"/>
    <mergeCell ref="G64:H64"/>
    <mergeCell ref="B65:C65"/>
    <mergeCell ref="D65:F65"/>
    <mergeCell ref="G65:H65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77:C77"/>
    <mergeCell ref="F77:H77"/>
    <mergeCell ref="J77:K77"/>
    <mergeCell ref="B78:C78"/>
    <mergeCell ref="F78:H78"/>
    <mergeCell ref="J78:K78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E136:T136"/>
    <mergeCell ref="E104:L104"/>
    <mergeCell ref="E106:L106"/>
    <mergeCell ref="E108:L108"/>
    <mergeCell ref="E122:L122"/>
    <mergeCell ref="E134:T134"/>
    <mergeCell ref="E135:T135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3:T146"/>
  <sheetViews>
    <sheetView zoomScaleNormal="100" zoomScaleSheetLayoutView="100" workbookViewId="0">
      <pane ySplit="13" topLeftCell="A47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13"/>
      <c r="B6" s="113"/>
      <c r="C6" s="113"/>
      <c r="D6" s="113"/>
      <c r="E6" s="113"/>
      <c r="F6" s="113"/>
      <c r="G6" s="7"/>
      <c r="H6" s="113"/>
      <c r="I6" s="113"/>
      <c r="J6" s="113"/>
      <c r="K6" s="113"/>
      <c r="L6" s="113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14"/>
      <c r="B8" s="114"/>
      <c r="C8" s="114"/>
      <c r="D8" s="114"/>
      <c r="E8" s="114"/>
      <c r="F8" s="114"/>
      <c r="G8" s="58"/>
      <c r="H8" s="114"/>
      <c r="I8" s="114"/>
      <c r="J8" s="114"/>
      <c r="K8" s="114"/>
      <c r="L8" s="114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13"/>
      <c r="E9" s="113"/>
      <c r="F9" s="113"/>
      <c r="G9" s="7"/>
      <c r="H9" s="113"/>
      <c r="I9" s="113"/>
      <c r="J9" s="113"/>
      <c r="K9" s="113"/>
      <c r="L9" s="113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15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83222882.939999998</v>
      </c>
      <c r="D14" s="55">
        <f>SUM(D15:D20)</f>
        <v>6021.41</v>
      </c>
      <c r="E14" s="19">
        <f>SUM(E15:E20)</f>
        <v>0</v>
      </c>
      <c r="F14" s="50">
        <f>E14/C14</f>
        <v>0</v>
      </c>
      <c r="G14" s="54">
        <f>C14-E14</f>
        <v>83222882.939999998</v>
      </c>
      <c r="H14" s="19">
        <f>SUM(H15:H20)</f>
        <v>-28060796.84</v>
      </c>
      <c r="I14" s="19">
        <f>SUM(I15:I20)</f>
        <v>0</v>
      </c>
      <c r="J14" s="19">
        <f t="shared" ref="J14" si="0">SUM(J15:J20)</f>
        <v>1194838.8400000001</v>
      </c>
      <c r="K14" s="20">
        <f>+H14+I14-J14</f>
        <v>-29255635.68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MENSUAL'!$H$10+'[1]AI MENSUAL'!$I$10+'[1]AI MENSUAL'!$J$10+'[1]AI MENSUAL'!$K$10+'[1]AI MENSUAL'!$L$10</f>
        <v>72659127.680000007</v>
      </c>
      <c r="D15" s="51">
        <v>0</v>
      </c>
      <c r="E15" s="51">
        <f>[2]REPO!$G$206+[2]REPO!$H$206+[2]REPO!$I$206+[2]REPO!$J$206+[2]REPO!$K$206+[2]REPO!$L$206+[2]REPO!$M$206</f>
        <v>0</v>
      </c>
      <c r="F15" s="15">
        <f>E15/C15</f>
        <v>0</v>
      </c>
      <c r="G15" s="53">
        <f>C15-E15</f>
        <v>72659127.680000007</v>
      </c>
      <c r="H15" s="16">
        <v>-28060796.84</v>
      </c>
      <c r="I15" s="16">
        <v>0</v>
      </c>
      <c r="J15" s="16">
        <f>[3]Hoja1!$B$3+[3]Hoja1!$C$3+[3]Hoja1!$D$3+[3]Hoja1!$E$3+[3]Hoja1!$F$3+[3]Hoja1!$G$3+[3]Hoja1!$H$3</f>
        <v>1194838.8400000001</v>
      </c>
      <c r="K15" s="16">
        <f>+H15+I15-J15</f>
        <v>-29255635.68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MENSUAL'!$H$30+'[1]AI MENSUAL'!$I$30+'[1]AI MENSUAL'!$J$30+'[1]AI MENSUAL'!$K$30+'[1]AI MENSUAL'!$L$30</f>
        <v>7116031.25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7116031.25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4" ht="15.75" customHeight="1" x14ac:dyDescent="0.25">
      <c r="A17" s="17" t="s">
        <v>19</v>
      </c>
      <c r="B17" s="78">
        <v>3924676</v>
      </c>
      <c r="C17" s="51">
        <f>'[1]AI MENSUAL'!$F$39+'[1]AI MENSUAL'!$G$39+'[1]AI MENSUAL'!$H$39+'[1]AI MENSUAL'!$I$39+'[1]AI MENSUAL'!$J$39+'[1]AI MENSUAL'!$K$39+'[1]AI MENSUAL'!$L$39</f>
        <v>3441702.6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3441702.6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4" ht="15.75" customHeight="1" x14ac:dyDescent="0.25">
      <c r="A18" s="17" t="s">
        <v>20</v>
      </c>
      <c r="B18" s="78">
        <v>1127751</v>
      </c>
      <c r="C18" s="51">
        <f>'[1]AI MENSUAL'!$F$35+'[1]AI MENSUAL'!$G$35+'[1]AI MENSUAL'!$H$35+'[1]AI MENSUAL'!$I$35+'[1]AI MENSUAL'!$J$35+'[1]AI MENSUAL'!$K$35+'[1]AI MENSUAL'!$L$35</f>
        <v>6021.41</v>
      </c>
      <c r="D18" s="51">
        <f>'[1]AI MENSUAL'!$F$35+'[1]AI MENSUAL'!$G$35+'[1]AI MENSUAL'!$H$35+'[1]AI MENSUAL'!$I$35+'[1]AI MENSUAL'!$J$35+'[1]AI MENSUAL'!$K$35+'[1]AI MENSUAL'!$L$35</f>
        <v>6021.41</v>
      </c>
      <c r="E18" s="14">
        <v>0</v>
      </c>
      <c r="F18" s="15">
        <f t="shared" si="2"/>
        <v>0</v>
      </c>
      <c r="G18" s="53">
        <f t="shared" si="4"/>
        <v>6021.41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4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4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4" ht="15.75" customHeight="1" x14ac:dyDescent="0.25">
      <c r="A21" s="13" t="s">
        <v>113</v>
      </c>
      <c r="B21" s="55">
        <f>SUM(B22:B32)</f>
        <v>78799342</v>
      </c>
      <c r="C21" s="55">
        <f>SUM(C22:C32)</f>
        <v>60962665.54999999</v>
      </c>
      <c r="D21" s="55">
        <f>SUM(D22:D32)</f>
        <v>1366.4700000000005</v>
      </c>
      <c r="E21" s="19">
        <f>SUM(E22:E32)</f>
        <v>45586580.68</v>
      </c>
      <c r="F21" s="50">
        <f>E21/C21</f>
        <v>0.74777866533101434</v>
      </c>
      <c r="G21" s="54">
        <f>C21-E21</f>
        <v>15376084.86999999</v>
      </c>
      <c r="H21" s="19">
        <f>SUM(H22:H32)</f>
        <v>15962709.16</v>
      </c>
      <c r="I21" s="19">
        <f t="shared" ref="I21:K21" si="5">SUM(I22:I32)</f>
        <v>0</v>
      </c>
      <c r="J21" s="19">
        <f t="shared" si="5"/>
        <v>3607432.0300000003</v>
      </c>
      <c r="K21" s="19">
        <f t="shared" si="5"/>
        <v>12355277.130000001</v>
      </c>
      <c r="L21" s="50">
        <f>E21/B21</f>
        <v>0.57851473785149121</v>
      </c>
      <c r="M21" s="1">
        <v>-12098087.68</v>
      </c>
      <c r="N21" s="101">
        <f>M21-H21</f>
        <v>-28060796.84</v>
      </c>
    </row>
    <row r="22" spans="1:14" ht="15.75" customHeight="1" x14ac:dyDescent="0.25">
      <c r="A22" s="17" t="s">
        <v>23</v>
      </c>
      <c r="B22" s="78">
        <v>28724811</v>
      </c>
      <c r="C22" s="51">
        <f>'[1]AI MENSUAL'!$F$52+'[1]AI MENSUAL'!$G$52+'[1]AI MENSUAL'!$H$52+'[1]AI MENSUAL'!$I$52+'[1]AI MENSUAL'!$J$52+'[1]AI MENSUAL'!$K$52+'[1]AI MENSUAL'!$L$52</f>
        <v>24493597.609999999</v>
      </c>
      <c r="D22" s="51">
        <f>'[1]AI MENSUAL'!$F$53+'[1]AI MENSUAL'!$G$53+'[1]AI MENSUAL'!$H$53+'[1]AI MENSUAL'!$I$53+'[1]AI MENSUAL'!$J$53+'[1]AI MENSUAL'!$K$53+'[1]AI MENSUAL'!$L$53</f>
        <v>933.85</v>
      </c>
      <c r="E22" s="14">
        <f>[4]FGP!$T$27+[5]FGP!$H$27+[5]FGP!$I$27+[5]FGP!$J$27+[5]FGP!$K$27+[5]FGP!$L$27+[5]FGP!$M$27</f>
        <v>20468445.749999996</v>
      </c>
      <c r="F22" s="15">
        <f>E22/C22</f>
        <v>0.83566514302673711</v>
      </c>
      <c r="G22" s="53">
        <f>C22-E22</f>
        <v>4025151.8600000031</v>
      </c>
      <c r="H22" s="16">
        <v>4445538.62</v>
      </c>
      <c r="I22" s="16">
        <v>0</v>
      </c>
      <c r="J22" s="16">
        <f>[3]Hoja1!$B$4+[3]Hoja1!$C$4+[3]Hoja1!$D$4+[3]Hoja1!$E$4+[3]Hoja1!$F$4+[3]Hoja1!$G$4+[3]Hoja1!$H$4</f>
        <v>2635961.38</v>
      </c>
      <c r="K22" s="16">
        <f>+H22+I22-J22</f>
        <v>1809577.2400000002</v>
      </c>
      <c r="L22" s="15">
        <f>E22/B22</f>
        <v>0.71257024980947647</v>
      </c>
      <c r="M22" s="79">
        <f>[3]Hoja1!$B$9+432486.12+[3]Hoja1!$D$8+[3]Hoja1!$E$8+[3]Hoja1!$F$8+[3]Hoja1!$G$8+[3]Hoja1!$H$8</f>
        <v>4802270.87</v>
      </c>
      <c r="N22" s="101">
        <f>M22-J21</f>
        <v>1194838.8399999999</v>
      </c>
    </row>
    <row r="23" spans="1:14" ht="15.75" customHeight="1" x14ac:dyDescent="0.25">
      <c r="A23" s="17" t="s">
        <v>24</v>
      </c>
      <c r="B23" s="78">
        <v>7609418</v>
      </c>
      <c r="C23" s="51">
        <f>'[1]AI MENSUAL'!$F$101+'[1]AI MENSUAL'!$G$101+'[1]AI MENSUAL'!$H$101+'[1]AI MENSUAL'!$I$101+'[1]AI MENSUAL'!$J$101+'[1]AI MENSUAL'!$K$101+'[1]AI MENSUAL'!$L$101</f>
        <v>5209451.8000000007</v>
      </c>
      <c r="D23" s="51">
        <f>'[1]AI MENSUAL'!$F$102+'[1]AI MENSUAL'!$G$102+'[1]AI MENSUAL'!$H$102+'[1]AI MENSUAL'!$I$102+'[1]AI MENSUAL'!$J$102+'[1]AI MENSUAL'!$K$102+'[1]AI MENSUAL'!$L$102</f>
        <v>185.26000000000002</v>
      </c>
      <c r="E23" s="14">
        <f>[4]FISM!$T$55+[5]FISM!$H$55+[5]FISM!$I$55+[5]FISM!$J$55+[5]FISM!$K$55+[5]FISM!$L$55+[5]FISM!$M$55</f>
        <v>0</v>
      </c>
      <c r="F23" s="15">
        <f t="shared" ref="F23:F29" si="6">E23/C23</f>
        <v>0</v>
      </c>
      <c r="G23" s="53">
        <f t="shared" ref="G23:G31" si="7">C23-E23</f>
        <v>5209451.8000000007</v>
      </c>
      <c r="H23" s="16">
        <v>5210039.33</v>
      </c>
      <c r="I23" s="16">
        <v>0</v>
      </c>
      <c r="J23" s="16">
        <v>0</v>
      </c>
      <c r="K23" s="16">
        <f t="shared" si="3"/>
        <v>5210039.33</v>
      </c>
      <c r="L23" s="15">
        <f t="shared" si="1"/>
        <v>0</v>
      </c>
    </row>
    <row r="24" spans="1:14" ht="15.75" customHeight="1" x14ac:dyDescent="0.25">
      <c r="A24" s="17" t="s">
        <v>25</v>
      </c>
      <c r="B24" s="78">
        <v>26777000</v>
      </c>
      <c r="C24" s="51">
        <f>'[1]AI MENSUAL'!$F$104+'[1]AI MENSUAL'!$G$104+'[1]AI MENSUAL'!$H$104+'[1]AI MENSUAL'!$I$104+'[1]AI MENSUAL'!$J$104+'[1]AI MENSUAL'!$K$104+'[1]AI MENSUAL'!$L$104</f>
        <v>16128813.819999998</v>
      </c>
      <c r="D24" s="51">
        <f>'[1]AI MENSUAL'!$F$105+'[1]AI MENSUAL'!$G$105+'[1]AI MENSUAL'!$H$105+'[1]AI MENSUAL'!$I$105+'[1]AI MENSUAL'!$J$105+'[1]AI MENSUAL'!$K$105+'[1]AI MENSUAL'!$L$105</f>
        <v>0</v>
      </c>
      <c r="E24" s="14">
        <f>[5]FORTAMUN!$G$32+[5]FORTAMUN!$H$32+[5]FORTAMUN!$I$32+[5]FORTAMUN!$J$32+[5]FORTAMUN!$K$32+[5]FORTAMUN!$L$32+[5]FORTAMUN!$M$32</f>
        <v>13161378.679999998</v>
      </c>
      <c r="F24" s="15">
        <f t="shared" si="6"/>
        <v>0.81601652960242299</v>
      </c>
      <c r="G24" s="53">
        <f>C24-E24</f>
        <v>2967435.1400000006</v>
      </c>
      <c r="H24" s="16">
        <v>3104899.22</v>
      </c>
      <c r="I24" s="16">
        <v>0</v>
      </c>
      <c r="J24" s="16">
        <f>[3]Hoja1!$B$5+[3]Hoja1!$C$5+[3]Hoja1!$D$5+[3]Hoja1!$E$5+[3]Hoja1!$F$5+[3]Hoja1!$G$5+[3]Hoja1!$H$5</f>
        <v>926739.2</v>
      </c>
      <c r="K24" s="16">
        <f t="shared" si="3"/>
        <v>2178160.0200000005</v>
      </c>
      <c r="L24" s="15">
        <f t="shared" si="1"/>
        <v>0.49151804459050669</v>
      </c>
    </row>
    <row r="25" spans="1:14" ht="15.75" customHeight="1" x14ac:dyDescent="0.25">
      <c r="A25" s="17" t="s">
        <v>26</v>
      </c>
      <c r="B25" s="78">
        <v>1161847</v>
      </c>
      <c r="C25" s="51">
        <f>'[1]AI MENSUAL'!$F$77+'[1]AI MENSUAL'!$G$77+'[1]AI MENSUAL'!$H$77+'[1]AI MENSUAL'!$I$77+'[1]AI MENSUAL'!$J$77+'[1]AI MENSUAL'!$K$77+'[1]AI MENSUAL'!$L$77</f>
        <v>1118002.45</v>
      </c>
      <c r="D25" s="51">
        <f>'[1]AI MENSUAL'!$F$78+'[1]AI MENSUAL'!$G$78+'[1]AI MENSUAL'!$H$78+'[1]AI MENSUAL'!$I$78+'[1]AI MENSUAL'!$J$78+'[1]AI MENSUAL'!$K$78+'[1]AI MENSUAL'!$L$78</f>
        <v>17.38</v>
      </c>
      <c r="E25" s="14">
        <f>[4]FFR!$T$25+[5]FFR!$H$25+[5]FFR!$I$25+[5]FFR!$J$25+[5]FFR!$K$25+[5]FFR!$L$25+[5]FFR!$M$25</f>
        <v>845761.42999999993</v>
      </c>
      <c r="F25" s="15">
        <f t="shared" si="6"/>
        <v>0.75649336009952395</v>
      </c>
      <c r="G25" s="53">
        <f t="shared" si="7"/>
        <v>272241.02</v>
      </c>
      <c r="H25" s="16">
        <v>279623.76</v>
      </c>
      <c r="I25" s="16">
        <v>0</v>
      </c>
      <c r="J25" s="16">
        <f>[3]Hoja1!$B$6+[3]Hoja1!$C$6+[3]Hoja1!$D$6+[3]Hoja1!$E$6+[3]Hoja1!$F$6+[3]Hoja1!$G$6+[3]Hoja1!$H$6</f>
        <v>24180.47</v>
      </c>
      <c r="K25" s="16">
        <f t="shared" si="3"/>
        <v>255443.29</v>
      </c>
      <c r="L25" s="15">
        <f t="shared" si="1"/>
        <v>0.72794561590295448</v>
      </c>
    </row>
    <row r="26" spans="1:14" ht="15.75" customHeight="1" x14ac:dyDescent="0.25">
      <c r="A26" s="17" t="s">
        <v>90</v>
      </c>
      <c r="B26" s="78">
        <v>12284567</v>
      </c>
      <c r="C26" s="51">
        <f>'[1]AI MENSUAL'!$F$48+'[1]AI MENSUAL'!$G$48+'[1]AI MENSUAL'!$H$48+'[1]AI MENSUAL'!$I$48+'[1]AI MENSUAL'!$J$48+'[1]AI MENSUAL'!$K$48+'[1]AI MENSUAL'!$L$48</f>
        <v>8209731.5099999988</v>
      </c>
      <c r="D26" s="51">
        <f>'[1]AI MENSUAL'!$F$49+'[1]AI MENSUAL'!$G$49+'[1]AI MENSUAL'!$H$49+'[1]AI MENSUAL'!$I$49+'[1]AI MENSUAL'!$J$49+'[1]AI MENSUAL'!$K$49+'[1]AI MENSUAL'!$L$49</f>
        <v>119.67</v>
      </c>
      <c r="E26" s="14">
        <f>[4]FFM!$G$21+[5]FFM!$H$21+[5]FFM!$I$21+[5]FFM!$J$21+[5]FFM!$K$21+[5]FFM!$L$21+[5]FFM!$M$21</f>
        <v>6126888.04</v>
      </c>
      <c r="F26" s="15">
        <f t="shared" si="6"/>
        <v>0.74629578720534806</v>
      </c>
      <c r="G26" s="53">
        <f t="shared" si="7"/>
        <v>2082843.4699999988</v>
      </c>
      <c r="H26" s="16">
        <v>2082979.82</v>
      </c>
      <c r="I26" s="16">
        <v>0</v>
      </c>
      <c r="J26" s="16">
        <v>0</v>
      </c>
      <c r="K26" s="16">
        <f t="shared" si="3"/>
        <v>2082979.82</v>
      </c>
      <c r="L26" s="15">
        <f t="shared" si="1"/>
        <v>0.49874676413096203</v>
      </c>
    </row>
    <row r="27" spans="1:14" ht="15.75" customHeight="1" x14ac:dyDescent="0.25">
      <c r="A27" s="17" t="s">
        <v>91</v>
      </c>
      <c r="B27" s="78">
        <v>639170</v>
      </c>
      <c r="C27" s="51">
        <f>'[1]AI MENSUAL'!$F$62+'[1]AI MENSUAL'!$G$62+'[1]AI MENSUAL'!$H$62+'[1]AI MENSUAL'!$I$62+'[1]AI MENSUAL'!$J$62+'[1]AI MENSUAL'!$K$62+'[1]AI MENSUAL'!$L$62</f>
        <v>489466.73000000004</v>
      </c>
      <c r="D27" s="51">
        <f>'[1]AI MENSUAL'!$F$63+'[1]AI MENSUAL'!$G$63+'[1]AI MENSUAL'!$H$63+'[1]AI MENSUAL'!$I$63+'[1]AI MENSUAL'!$J$63+'[1]AI MENSUAL'!$K$63+'[1]AI MENSUAL'!$L$63</f>
        <v>0.79</v>
      </c>
      <c r="E27" s="14">
        <f>'[4]IEPS TAB'!$G$11+'[5]IEPS TAB'!$H$11+'[5]IEPS TAB'!$I$11+'[5]IEPS TAB'!$J$11+'[5]IEPS TAB'!$K$11+'[5]IEPS TAB'!$L$11+'[5]IEPS TAB'!$M$11</f>
        <v>486212.13</v>
      </c>
      <c r="F27" s="15">
        <f t="shared" si="6"/>
        <v>0.99335072273451552</v>
      </c>
      <c r="G27" s="53">
        <f t="shared" si="7"/>
        <v>3254.6000000000349</v>
      </c>
      <c r="H27" s="16">
        <v>3255.59</v>
      </c>
      <c r="I27" s="16">
        <v>0</v>
      </c>
      <c r="J27" s="16">
        <v>0</v>
      </c>
      <c r="K27" s="16">
        <f t="shared" si="3"/>
        <v>3255.59</v>
      </c>
      <c r="L27" s="15">
        <f t="shared" si="1"/>
        <v>0.76069297682932557</v>
      </c>
    </row>
    <row r="28" spans="1:14" ht="15.75" customHeight="1" x14ac:dyDescent="0.25">
      <c r="A28" s="17" t="s">
        <v>94</v>
      </c>
      <c r="B28" s="78">
        <v>1325120</v>
      </c>
      <c r="C28" s="51">
        <f>'[1]AI MENSUAL'!$F$58+'[1]AI MENSUAL'!$G$58+'[1]AI MENSUAL'!$H$58+'[1]AI MENSUAL'!$I$58+'[1]AI MENSUAL'!$J$58+'[1]AI MENSUAL'!$K$58+'[1]AI MENSUAL'!$L$58</f>
        <v>843628.40999999992</v>
      </c>
      <c r="D28" s="51">
        <f>'[1]AI MENSUAL'!$F$59+'[1]AI MENSUAL'!$G$59+'[1]AI MENSUAL'!$H$59+'[1]AI MENSUAL'!$I$59+'[1]AI MENSUAL'!$J$59+'[1]AI MENSUAL'!$K$59+'[1]AI MENSUAL'!$L$59</f>
        <v>4.17</v>
      </c>
      <c r="E28" s="14">
        <f>'[4]IEPS GAS'!$G$11+'[5]IEPS GAS'!$H$11+'[5]IEPS GAS'!$I$11+'[5]IEPS GAS'!$J$11+'[5]IEPS GAS'!$K$11+'[5]IEPS GAS'!$L$11+'[5]IEPS GAS'!$M$11</f>
        <v>798477.59</v>
      </c>
      <c r="F28" s="15">
        <f t="shared" si="6"/>
        <v>0.94648020447770365</v>
      </c>
      <c r="G28" s="53">
        <f t="shared" si="7"/>
        <v>45150.819999999949</v>
      </c>
      <c r="H28" s="16">
        <v>45155.48</v>
      </c>
      <c r="I28" s="16">
        <v>0</v>
      </c>
      <c r="J28" s="16">
        <v>0</v>
      </c>
      <c r="K28" s="16">
        <f t="shared" si="3"/>
        <v>45155.48</v>
      </c>
      <c r="L28" s="15">
        <f t="shared" si="1"/>
        <v>0.60257002384689684</v>
      </c>
    </row>
    <row r="29" spans="1:14" ht="15.75" customHeight="1" x14ac:dyDescent="0.25">
      <c r="A29" s="17" t="s">
        <v>92</v>
      </c>
      <c r="B29" s="78">
        <v>50110</v>
      </c>
      <c r="C29" s="51">
        <f>'[1]AI MENSUAL'!$F$70+'[1]AI MENSUAL'!$G$70+'[1]AI MENSUAL'!$H$70+'[1]AI MENSUAL'!$I$70+'[1]AI MENSUAL'!$J$70+'[1]AI MENSUAL'!$K$70+'[1]AI MENSUAL'!$L$70</f>
        <v>55690.600000000006</v>
      </c>
      <c r="D29" s="51">
        <f>'[1]AI MENSUAL'!$F$71+'[1]AI MENSUAL'!$G$71+'[1]AI MENSUAL'!$H$71+'[1]AI MENSUAL'!$I$71+'[1]AI MENSUAL'!$J$71+'[1]AI MENSUAL'!$K$71+'[1]AI MENSUAL'!$L$71</f>
        <v>0.24</v>
      </c>
      <c r="E29" s="14">
        <f>[4]CISAN!$G$11+[5]CISAN!$H$11+[5]CISAN!$I$11+[5]CISAN!$J$11+[5]CISAN!$K$11+[5]CISAN!$L$11+[5]CISAN!$M$11</f>
        <v>44132.27</v>
      </c>
      <c r="F29" s="15">
        <f t="shared" si="6"/>
        <v>0.79245456145202231</v>
      </c>
      <c r="G29" s="53">
        <f t="shared" si="7"/>
        <v>11558.330000000009</v>
      </c>
      <c r="H29" s="16">
        <v>11558.59</v>
      </c>
      <c r="I29" s="16">
        <v>0</v>
      </c>
      <c r="J29" s="16">
        <v>0</v>
      </c>
      <c r="K29" s="16">
        <f t="shared" si="3"/>
        <v>11558.59</v>
      </c>
      <c r="L29" s="15">
        <f t="shared" si="1"/>
        <v>0.88070784274595881</v>
      </c>
    </row>
    <row r="30" spans="1:14" ht="15.75" customHeight="1" x14ac:dyDescent="0.25">
      <c r="A30" s="17" t="s">
        <v>93</v>
      </c>
      <c r="B30" s="78">
        <v>227299</v>
      </c>
      <c r="C30" s="51">
        <f>'[1]AI MENSUAL'!$F$67+'[1]AI MENSUAL'!$G$67+'[1]AI MENSUAL'!$H$67+'[1]AI MENSUAL'!$I$67+'[1]AI MENSUAL'!$J$67+'[1]AI MENSUAL'!$K$67+'[1]AI MENSUAL'!$L$67</f>
        <v>352053.61999999994</v>
      </c>
      <c r="D30" s="51">
        <f>'[1]AI MENSUAL'!$F$68+'[1]AI MENSUAL'!$G$68+'[1]AI MENSUAL'!$H$68+'[1]AI MENSUAL'!$I$68+'[1]AI MENSUAL'!$J$68+'[1]AI MENSUAL'!$K$68+'[1]AI MENSUAL'!$L$68</f>
        <v>0.94</v>
      </c>
      <c r="E30" s="14">
        <f>[4]ISAN!$G$11+[5]ISAN!$H$11+[5]ISAN!$I$11+[5]ISAN!$J$11+[5]ISAN!$K$11+[5]ISAN!$L$11+[5]ISAN!$M$11</f>
        <v>313758.07</v>
      </c>
      <c r="F30" s="15">
        <f>E30/C30</f>
        <v>0.89122239390692837</v>
      </c>
      <c r="G30" s="53">
        <f>C30-E30</f>
        <v>38295.54999999993</v>
      </c>
      <c r="H30" s="16">
        <v>38297.25</v>
      </c>
      <c r="I30" s="16">
        <v>0</v>
      </c>
      <c r="J30" s="16">
        <v>0</v>
      </c>
      <c r="K30" s="16">
        <f t="shared" si="3"/>
        <v>38297.25</v>
      </c>
      <c r="L30" s="15">
        <f>E30/B30</f>
        <v>1.3803759365417358</v>
      </c>
    </row>
    <row r="31" spans="1:14" ht="15.75" customHeight="1" x14ac:dyDescent="0.25">
      <c r="A31" s="17" t="s">
        <v>95</v>
      </c>
      <c r="B31" s="78">
        <v>0</v>
      </c>
      <c r="C31" s="51">
        <f>'[1]AI MENSUAL'!$F$95+'[1]AI MENSUAL'!$G$95+'[1]AI MENSUAL'!$H$95+'[1]AI MENSUAL'!$I$95+'[1]AI MENSUAL'!$J$95+'[1]AI MENSUAL'!$K$95+'[1]AI MENSUAL'!$L$95</f>
        <v>40611</v>
      </c>
      <c r="D31" s="51">
        <f>'[1]AI MENSUAL'!$F$96+'[1]AI MENSUAL'!$G$96+'[1]AI MENSUAL'!$H$96+'[1]AI MENSUAL'!$I$96+'[1]AI MENSUAL'!$J$96+'[1]AI MENSUAL'!$K$96+'[1]AI MENSUAL'!$L$96</f>
        <v>0</v>
      </c>
      <c r="E31" s="14">
        <f>[4]PRODDER!$T$12+[5]PRODDER!$U$12+[5]PRODDER!$V$12+[5]PRODDER!$W$12+[5]PRODDER!$X$12+[5]PRODDER!$Y$12+[5]PRODDER!$M$12</f>
        <v>0</v>
      </c>
      <c r="F31" s="15">
        <v>0</v>
      </c>
      <c r="G31" s="53">
        <f t="shared" si="7"/>
        <v>40611</v>
      </c>
      <c r="H31" s="16">
        <v>40611.64</v>
      </c>
      <c r="I31" s="16">
        <v>0</v>
      </c>
      <c r="J31" s="16">
        <v>0</v>
      </c>
      <c r="K31" s="16">
        <f t="shared" si="3"/>
        <v>40611.64</v>
      </c>
      <c r="L31" s="15">
        <v>0</v>
      </c>
    </row>
    <row r="32" spans="1:14" ht="15.75" customHeight="1" x14ac:dyDescent="0.25">
      <c r="A32" s="17" t="s">
        <v>27</v>
      </c>
      <c r="B32" s="78">
        <v>0</v>
      </c>
      <c r="C32" s="51">
        <f>'[1]AI MENSUAL'!$F$89+'[1]AI MENSUAL'!$G$89+'[1]AI MENSUAL'!$H$89+'[1]AI MENSUAL'!$I$89+'[1]AI MENSUAL'!$J$89+'[1]AI MENSUAL'!$K$89+'[1]AI MENSUAL'!$L$89</f>
        <v>4021618</v>
      </c>
      <c r="D32" s="51">
        <f>'[1]AI MENSUAL'!$F$90+'[1]AI MENSUAL'!$G$90+'[1]AI MENSUAL'!$H$90+'[1]AI MENSUAL'!$I$90+'[1]AI MENSUAL'!$J$90+'[1]AI MENSUAL'!$K$90+'[1]AI MENSUAL'!$L$90</f>
        <v>104.17</v>
      </c>
      <c r="E32" s="14">
        <f>[4]ISR!$T$47+[5]ISR!$H$47+[5]ISR!$I$47+[5]ISR!$J$47+[5]ISR!$K$47+[5]ISR!$L$47+[5]ISR!$M$47</f>
        <v>3341526.72</v>
      </c>
      <c r="F32" s="15">
        <f>E32/C32</f>
        <v>0.83089112889389305</v>
      </c>
      <c r="G32" s="53">
        <f>C32-E32</f>
        <v>680091.2799999998</v>
      </c>
      <c r="H32" s="16">
        <v>700749.86</v>
      </c>
      <c r="I32" s="16">
        <v>0</v>
      </c>
      <c r="J32" s="16">
        <f>[3]Hoja1!$B$7+[3]Hoja1!$C$7+[3]Hoja1!$D$7+[3]Hoja1!$E$7+[3]Hoja1!$F$7+[3]Hoja1!$G$7+[3]Hoja1!$H$7</f>
        <v>20550.98</v>
      </c>
      <c r="K32" s="16">
        <f t="shared" si="3"/>
        <v>680198.88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583.74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62118.310000000005</v>
      </c>
      <c r="I33" s="19">
        <f>SUM(I34:I46)</f>
        <v>0</v>
      </c>
      <c r="J33" s="19">
        <f>SUM(J34:J46)</f>
        <v>0</v>
      </c>
      <c r="K33" s="19">
        <f>SUM(K34:K46)</f>
        <v>62118.310000000005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61972.87</v>
      </c>
      <c r="I34" s="16">
        <v>0</v>
      </c>
      <c r="J34" s="16">
        <v>0</v>
      </c>
      <c r="K34" s="16">
        <f>+H34+I34-J34</f>
        <v>61972.87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MENSUAL'!$H$54+'[1]AI MENSUAL'!$I$54+'[1]AI MENSUAL'!$J$54+'[1]AI MENSUAL'!$K$54+'[1]AI MENSUAL'!$L$54</f>
        <v>112.68000000000002</v>
      </c>
      <c r="E35" s="14">
        <v>0</v>
      </c>
      <c r="F35" s="15">
        <v>0</v>
      </c>
      <c r="G35" s="53">
        <f>C35-E35</f>
        <v>0</v>
      </c>
      <c r="H35" s="16">
        <v>145.44</v>
      </c>
      <c r="I35" s="16">
        <v>0</v>
      </c>
      <c r="J35" s="16">
        <v>0</v>
      </c>
      <c r="K35" s="16">
        <f>+H35+I35-J35</f>
        <v>145.44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MENSUAL'!$H$103+'[1]AI MENSUAL'!$I$103+'[1]AI MENSUAL'!$J$103+'[1]AI MENSUAL'!$L$103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MENSUAL'!$H$106+'[1]AI MENSUAL'!$I$106+'[1]AI MENSUAL'!$J$106+'[1]AI MENSUAL'!$K$106+'[1]AI MENSUAL'!$L$106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MENSUAL'!$H$79+'[1]AI MENSUAL'!$I$79+'[1]AI MENSUAL'!$J$79+'[1]AI MENSUAL'!$K$79+'[1]AI MENSUAL'!$L$79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MENSUAL'!$H$50+'[1]AI MENSUAL'!$I$50+'[1]AI MENSUAL'!$J$50+'[1]AI MENSUAL'!$K$50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MENSUAL'!$H$64+'[1]AI MENSUAL'!$I$64+'[1]AI MENSUAL'!$J$64+'[1]AI MENSUAL'!$K$64+'[1]AI MENSUAL'!$L$64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MENSUAL'!$H$60+'[1]AI MENSUAL'!$I$60+'[1]AI MENSUAL'!$J$60+'[1]AI MENSUAL'!$K$60+'[1]AI MENSUAL'!$L$60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MENSUAL'!$H$72+'[1]AI MENSUAL'!$I$72+'[1]AI MENSUAL'!$J$72+'[1]AI MENSUAL'!$K$72+'[1]AI MENSUAL'!$L$72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MENSUAL'!$H$69+'[1]AI MENSUAL'!$I$69+'[1]AI MENSUAL'!$J$69+'[1]AI MENSUAL'!$K$69+'[1]AI MENSUAL'!$L$69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MENSUAL'!$H$97+'[1]AI MENSUAL'!$I$97+'[1]AI MENSUAL'!$J$97+'[1]AI MENSUAL'!$K$97+'[1]AI MENSUAL'!$L$97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MENSUAL'!$H$91+'[1]AI MENSUAL'!$I$91+'[1]AI MENSUAL'!$J$91+'[1]AI MENSUAL'!$K$91+'[1]AI MENSUAL'!$L$91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5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5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5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5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5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2581445.62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2581445.62</v>
      </c>
      <c r="L53" s="50">
        <v>0</v>
      </c>
    </row>
    <row r="54" spans="1:15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2581445.62</v>
      </c>
      <c r="I54" s="16">
        <v>0</v>
      </c>
      <c r="J54" s="16">
        <v>0</v>
      </c>
      <c r="K54" s="16">
        <f t="shared" ref="K54:K55" si="13">+H54+I54-J54</f>
        <v>2581445.62</v>
      </c>
      <c r="L54" s="15">
        <v>0</v>
      </c>
    </row>
    <row r="55" spans="1:15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5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3471.94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3471.94</v>
      </c>
      <c r="L56" s="50">
        <v>0</v>
      </c>
    </row>
    <row r="57" spans="1:15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3471.94</v>
      </c>
      <c r="I57" s="16">
        <v>0</v>
      </c>
      <c r="J57" s="16">
        <v>0</v>
      </c>
      <c r="K57" s="16">
        <f>+H57+I57-J57</f>
        <v>3471.94</v>
      </c>
      <c r="L57" s="15">
        <v>0</v>
      </c>
    </row>
    <row r="58" spans="1:15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5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5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144185548.48999998</v>
      </c>
      <c r="D60" s="55">
        <f>D14+D21+D33+D47+D53+D56</f>
        <v>7971.62</v>
      </c>
      <c r="E60" s="55">
        <f>E14+E21+E47+E53+E56</f>
        <v>45586580.68</v>
      </c>
      <c r="F60" s="50">
        <f>E60/C60</f>
        <v>0.31616608708300381</v>
      </c>
      <c r="G60" s="55">
        <f>G14+G21+G47+G53+G56</f>
        <v>98598967.809999987</v>
      </c>
      <c r="H60" s="55">
        <f>H14+H21+H33+H47+H53+H56</f>
        <v>-9451051.8100000005</v>
      </c>
      <c r="I60" s="19">
        <f t="shared" ref="I60" si="17">I14+I21+I47+I53+I56</f>
        <v>0</v>
      </c>
      <c r="J60" s="55">
        <f>J14+J21+J47+J53+J56</f>
        <v>4802270.87</v>
      </c>
      <c r="K60" s="19">
        <f>K14+K21+K47+K53+K56</f>
        <v>-14315440.989999996</v>
      </c>
      <c r="L60" s="15">
        <f>E60/B60</f>
        <v>0.27671494677815206</v>
      </c>
    </row>
    <row r="61" spans="1:15" ht="15.75" customHeight="1" x14ac:dyDescent="0.2">
      <c r="B61" s="80"/>
      <c r="C61" s="79">
        <f>'[1]AI MENSUAL'!$F$6+'[1]AI MENSUAL'!$G$6+'[1]AI MENSUAL'!$H$6+'[1]AI MENSUAL'!$I$6+'[1]AI MENSUAL'!$J$6+'[1]AI MENSUAL'!$K$6+'[1]AI MENSUAL'!$L$6</f>
        <v>144187498.69999999</v>
      </c>
      <c r="D61" s="79">
        <f>'[1]AI MENSUAL'!$F$145+'[1]AI MENSUAL'!$G$145+'[1]AI MENSUAL'!$H$145+'[1]AI MENSUAL'!$I$145+'[1]AI MENSUAL'!$J$145+'[1]AI MENSUAL'!$K$145+'[1]AI MENSUAL'!$L$145</f>
        <v>0</v>
      </c>
      <c r="E61" s="79">
        <f>[2]GLOBAL!$G$443+[2]GLOBAL!$H$443+[2]GLOBAL!$I$443+[2]GLOBAL!$J$443+[2]GLOBAL!$K$443+[2]GLOBAL!$L$443+[2]GLOBAL!$M$443</f>
        <v>0</v>
      </c>
      <c r="G61" s="79">
        <f>C60-E60</f>
        <v>98598967.809999973</v>
      </c>
      <c r="H61" s="79">
        <v>-9451051.8100000005</v>
      </c>
      <c r="I61" s="80"/>
      <c r="J61" s="79">
        <f>[3]Hoja1!$B$9+432486.12+[3]Hoja1!$D$8+[3]Hoja1!$E$8+[3]Hoja1!$F$8+[3]Hoja1!$G$8+[3]Hoja1!$H$8</f>
        <v>4802270.87</v>
      </c>
      <c r="K61" s="56"/>
    </row>
    <row r="62" spans="1:15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5" ht="15.75" customHeight="1" x14ac:dyDescent="0.2">
      <c r="C63" s="116"/>
      <c r="D63" s="116"/>
      <c r="E63" s="116"/>
      <c r="F63" s="116"/>
      <c r="G63" s="60"/>
      <c r="H63" s="116"/>
      <c r="I63" s="116"/>
    </row>
    <row r="64" spans="1:15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117" t="s">
        <v>8</v>
      </c>
      <c r="L64" s="1" t="s">
        <v>114</v>
      </c>
      <c r="M64" s="56">
        <f>C61-C60</f>
        <v>1950.2100000083447</v>
      </c>
      <c r="N64" s="56">
        <f>M64-D33</f>
        <v>1366.4700000083446</v>
      </c>
      <c r="O64" s="56"/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M65" s="56">
        <f>E61-E60</f>
        <v>-45586580.68</v>
      </c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[3]Hoja1!$B$18+[3]Hoja1!$C$18+[3]Hoja1!$D$18+[3]Hoja1!$E$18+[3]Hoja1!$F$18+[3]Hoja1!$G$18+[3]Hoja1!$H$18</f>
        <v>60922</v>
      </c>
      <c r="H66" s="206"/>
      <c r="I66" s="23">
        <f t="shared" ref="I66:I72" si="18">G66/D66</f>
        <v>0.5391327433628319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[3]Hoja1!$B$28+[3]Hoja1!$C$28+[3]Hoja1!$D$29+[3]Hoja1!$E$28+[3]Hoja1!$F$28+[3]Hoja1!$G$28+[3]Hoja1!$H$28</f>
        <v>5994446.8799999999</v>
      </c>
      <c r="H67" s="206"/>
      <c r="I67" s="23">
        <f t="shared" si="18"/>
        <v>0.46707393849161188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[3]Hoja1!$B$39+[3]Hoja1!$C$39+[3]Hoja1!$D$39+[3]Hoja1!$E$39+[3]Hoja1!$E$39+[3]Hoja1!$F$39+[3]Hoja1!$G$39+[3]Hoja1!$H$39</f>
        <v>1005509.81</v>
      </c>
      <c r="H68" s="206"/>
      <c r="I68" s="23">
        <f t="shared" si="18"/>
        <v>2.3239647075138099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[3]Hoja1!$B$49+[3]Hoja1!$C$49+[3]Hoja1!$D$49+[3]Hoja1!$E$49+[3]Hoja1!$E$49+[3]Hoja1!$F$49+[3]Hoja1!$H$49</f>
        <v>69278.009999999995</v>
      </c>
      <c r="H69" s="206"/>
      <c r="I69" s="23">
        <f t="shared" si="18"/>
        <v>0.48109729166666665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[3]Hoja1!$B$59+[3]Hoja1!$C$60+[3]Hoja1!$D$59+[3]Hoja1!$E$59+[3]Hoja1!$F$59+[3]Hoja1!$G$59+[3]Hoja1!$H$59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[3]Hoja1!$B$69+[3]Hoja1!$C$69+[3]Hoja1!$D$70+[3]Hoja1!$E$69+[3]Hoja1!$F$69+[3]Hoja1!$G$49+[3]Hoja1!$G$69+[3]Hoja1!$H$69</f>
        <v>23138.760000000002</v>
      </c>
      <c r="H71" s="206"/>
      <c r="I71" s="23">
        <f t="shared" si="18"/>
        <v>1.9235964408931765E-2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7153295.459999999</v>
      </c>
      <c r="H72" s="206"/>
      <c r="I72" s="23">
        <f t="shared" si="18"/>
        <v>0.36974425724617432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118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118"/>
      <c r="C76" s="118"/>
      <c r="D76" s="118"/>
      <c r="G76" s="62"/>
      <c r="H76" s="119"/>
      <c r="J76" s="119"/>
      <c r="K76" s="119"/>
    </row>
    <row r="77" spans="1:15" s="27" customFormat="1" ht="15.75" customHeight="1" x14ac:dyDescent="0.3">
      <c r="B77" s="212" t="s">
        <v>109</v>
      </c>
      <c r="C77" s="212"/>
      <c r="D77" s="121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121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122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113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120"/>
      <c r="B91" s="120"/>
      <c r="C91" s="120"/>
      <c r="D91" s="120"/>
      <c r="E91" s="120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2:I62"/>
    <mergeCell ref="B64:C64"/>
    <mergeCell ref="D64:F64"/>
    <mergeCell ref="G64:H64"/>
    <mergeCell ref="B65:C65"/>
    <mergeCell ref="D65:F65"/>
    <mergeCell ref="G65:H65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77:C77"/>
    <mergeCell ref="F77:H77"/>
    <mergeCell ref="J77:K77"/>
    <mergeCell ref="B78:C78"/>
    <mergeCell ref="F78:H78"/>
    <mergeCell ref="J78:K78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E136:T136"/>
    <mergeCell ref="E104:L104"/>
    <mergeCell ref="E106:L106"/>
    <mergeCell ref="E108:L108"/>
    <mergeCell ref="E122:L122"/>
    <mergeCell ref="E134:T134"/>
    <mergeCell ref="E135:T135"/>
  </mergeCells>
  <pageMargins left="0.62992125984251968" right="0.62992125984251968" top="0.39370078740157483" bottom="0.43307086614173229" header="0" footer="0"/>
  <pageSetup scale="66" fitToHeight="2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T146"/>
  <sheetViews>
    <sheetView zoomScaleNormal="100" zoomScaleSheetLayoutView="100" workbookViewId="0">
      <pane ySplit="13" topLeftCell="A50" activePane="bottomLeft" state="frozen"/>
      <selection pane="bottomLeft" activeCell="C62" sqref="C62:I62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" style="1" bestFit="1" customWidth="1"/>
    <col min="14" max="14" width="11.42578125" style="1"/>
    <col min="15" max="15" width="12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25"/>
      <c r="B6" s="125"/>
      <c r="C6" s="125"/>
      <c r="D6" s="125"/>
      <c r="E6" s="125"/>
      <c r="F6" s="125"/>
      <c r="G6" s="7"/>
      <c r="H6" s="125"/>
      <c r="I6" s="125"/>
      <c r="J6" s="125"/>
      <c r="K6" s="125"/>
      <c r="L6" s="125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31"/>
      <c r="B8" s="131"/>
      <c r="C8" s="131"/>
      <c r="D8" s="131"/>
      <c r="E8" s="131"/>
      <c r="F8" s="131"/>
      <c r="G8" s="58"/>
      <c r="H8" s="131"/>
      <c r="I8" s="131"/>
      <c r="J8" s="131"/>
      <c r="K8" s="131"/>
      <c r="L8" s="131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25"/>
      <c r="E9" s="125"/>
      <c r="F9" s="125"/>
      <c r="G9" s="7"/>
      <c r="H9" s="125"/>
      <c r="I9" s="125"/>
      <c r="J9" s="125"/>
      <c r="K9" s="125"/>
      <c r="L9" s="125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32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119054806.38</v>
      </c>
      <c r="D14" s="55">
        <f>SUM(D15:D20)</f>
        <v>6289.8099999999995</v>
      </c>
      <c r="E14" s="19">
        <f>SUM(E15:E20)</f>
        <v>0</v>
      </c>
      <c r="F14" s="50">
        <f>E14/C14</f>
        <v>0</v>
      </c>
      <c r="G14" s="54">
        <f>C14-E14</f>
        <v>119054806.38</v>
      </c>
      <c r="H14" s="19">
        <f>SUM(H15:H20)</f>
        <v>3565735.53</v>
      </c>
      <c r="I14" s="19">
        <f>SUM(I15:I20)</f>
        <v>0</v>
      </c>
      <c r="J14" s="19">
        <f t="shared" ref="J14" si="0">SUM(J15:J20)</f>
        <v>1222366.07</v>
      </c>
      <c r="K14" s="20">
        <f>+H14+I14-J14</f>
        <v>2343369.46</v>
      </c>
      <c r="L14" s="50">
        <f>E14/B14</f>
        <v>0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MENSUAL'!$H$10+'[1]AI MENSUAL'!$I$10+'[1]AI MENSUAL'!$J$10+'[1]AI MENSUAL'!$K$10+'[1]AI MENSUAL'!$L$10+'[1]AI MENSUAL'!$M$10</f>
        <v>106816385.51000001</v>
      </c>
      <c r="D15" s="51">
        <v>0</v>
      </c>
      <c r="E15" s="51">
        <f>[2]REPO!$G$206+[2]REPO!$H$206+[2]REPO!$I$206+[2]REPO!$J$206+[2]REPO!$K$206+[2]REPO!$L$206+[2]REPO!$M$206+[2]REPO!$N$206</f>
        <v>0</v>
      </c>
      <c r="F15" s="15">
        <f>E15/C15</f>
        <v>0</v>
      </c>
      <c r="G15" s="53">
        <f>C15-E15</f>
        <v>106816385.51000001</v>
      </c>
      <c r="H15" s="16">
        <v>3565735.53</v>
      </c>
      <c r="I15" s="16">
        <v>0</v>
      </c>
      <c r="J15" s="16">
        <f>[3]Hoja1!$B$3+[3]Hoja1!$C$3+[3]Hoja1!$D$3+[3]Hoja1!$E$3+[3]Hoja1!$F$3+[3]Hoja1!$G$3+[3]Hoja1!$H$3+[3]Hoja1!$I$3</f>
        <v>1222366.07</v>
      </c>
      <c r="K15" s="16">
        <f>+H15+I15-J15</f>
        <v>2343369.46</v>
      </c>
      <c r="L15" s="15">
        <f t="shared" ref="L15:L29" si="1">E15/B15</f>
        <v>0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MENSUAL'!$H$30+'[1]AI MENSUAL'!$I$30+'[1]AI MENSUAL'!$J$30+'[1]AI MENSUAL'!$K$30+'[1]AI MENSUAL'!$L$30+'[1]AI MENSUAL'!$M$30</f>
        <v>8361492.46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8361492.46</v>
      </c>
      <c r="H16" s="16">
        <v>0</v>
      </c>
      <c r="I16" s="16">
        <v>0</v>
      </c>
      <c r="J16" s="16">
        <v>0</v>
      </c>
      <c r="K16" s="16">
        <f t="shared" ref="K16:K32" si="3">+H16+I16-J16</f>
        <v>0</v>
      </c>
      <c r="L16" s="15">
        <f t="shared" si="1"/>
        <v>0</v>
      </c>
    </row>
    <row r="17" spans="1:15" ht="15.75" customHeight="1" x14ac:dyDescent="0.25">
      <c r="A17" s="17" t="s">
        <v>19</v>
      </c>
      <c r="B17" s="78">
        <v>3924676</v>
      </c>
      <c r="C17" s="51">
        <f>'[1]AI MENSUAL'!$F$39+'[1]AI MENSUAL'!$G$39+'[1]AI MENSUAL'!$H$39+'[1]AI MENSUAL'!$I$39+'[1]AI MENSUAL'!$J$39+'[1]AI MENSUAL'!$K$39+'[1]AI MENSUAL'!$L$39+'[1]AI MENSUAL'!$M$39</f>
        <v>3870638.6</v>
      </c>
      <c r="D17" s="14">
        <v>0</v>
      </c>
      <c r="E17" s="14">
        <v>0</v>
      </c>
      <c r="F17" s="15">
        <f t="shared" si="2"/>
        <v>0</v>
      </c>
      <c r="G17" s="53">
        <f t="shared" ref="G17:G20" si="4">C17-E17</f>
        <v>3870638.6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5" ht="15.75" customHeight="1" x14ac:dyDescent="0.25">
      <c r="A18" s="17" t="s">
        <v>20</v>
      </c>
      <c r="B18" s="78">
        <v>1127751</v>
      </c>
      <c r="C18" s="51">
        <f>'[1]AI MENSUAL'!$F$35+'[1]AI MENSUAL'!$G$35+'[1]AI MENSUAL'!$H$35+'[1]AI MENSUAL'!$I$35+'[1]AI MENSUAL'!$J$35+'[1]AI MENSUAL'!$K$35+'[1]AI MENSUAL'!$L$35+'[1]AI MENSUAL'!$M$35</f>
        <v>6289.8099999999995</v>
      </c>
      <c r="D18" s="51">
        <f>'[1]AI MENSUAL'!$F$35+'[1]AI MENSUAL'!$G$35+'[1]AI MENSUAL'!$H$35+'[1]AI MENSUAL'!$I$35+'[1]AI MENSUAL'!$J$35+'[1]AI MENSUAL'!$K$35+'[1]AI MENSUAL'!$L$35+'[1]AI MENSUAL'!$M$35</f>
        <v>6289.8099999999995</v>
      </c>
      <c r="E18" s="14">
        <v>0</v>
      </c>
      <c r="F18" s="15">
        <f t="shared" si="2"/>
        <v>0</v>
      </c>
      <c r="G18" s="53">
        <f t="shared" si="4"/>
        <v>6289.8099999999995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5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si="4"/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5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5" ht="15.75" customHeight="1" x14ac:dyDescent="0.25">
      <c r="A21" s="13" t="s">
        <v>113</v>
      </c>
      <c r="B21" s="55">
        <f>SUM(B22:B32)</f>
        <v>78799342</v>
      </c>
      <c r="C21" s="55">
        <f>SUM(C22:C32)</f>
        <v>71980146.290000007</v>
      </c>
      <c r="D21" s="55">
        <f>SUM(D22:D32)</f>
        <v>1681.1499999999999</v>
      </c>
      <c r="E21" s="19">
        <f>SUM(E22:E32)</f>
        <v>58263912.549999997</v>
      </c>
      <c r="F21" s="50">
        <f>E21/C21</f>
        <v>0.80944420861915412</v>
      </c>
      <c r="G21" s="54">
        <f>C21-E21</f>
        <v>13716233.74000001</v>
      </c>
      <c r="H21" s="19">
        <f>SUM(H22:H32)</f>
        <v>14754980.590000002</v>
      </c>
      <c r="I21" s="19">
        <f t="shared" ref="I21:K21" si="5">SUM(I22:I32)</f>
        <v>0</v>
      </c>
      <c r="J21" s="19">
        <f t="shared" si="5"/>
        <v>4525120.95</v>
      </c>
      <c r="K21" s="19">
        <f t="shared" si="5"/>
        <v>10229859.640000001</v>
      </c>
      <c r="L21" s="50">
        <f>E21/B21</f>
        <v>0.73939592731624582</v>
      </c>
      <c r="M21" s="1">
        <v>18320716.120000001</v>
      </c>
      <c r="N21" s="101">
        <f>M21-H21</f>
        <v>3565735.5299999993</v>
      </c>
      <c r="O21" s="56"/>
    </row>
    <row r="22" spans="1:15" ht="15.75" customHeight="1" x14ac:dyDescent="0.25">
      <c r="A22" s="17" t="s">
        <v>23</v>
      </c>
      <c r="B22" s="78">
        <v>28724811</v>
      </c>
      <c r="C22" s="51">
        <f>'[1]AI MENSUAL'!$F$52+'[1]AI MENSUAL'!$G$52+'[1]AI MENSUAL'!$H$52+'[1]AI MENSUAL'!$I$52+'[1]AI MENSUAL'!$J$52+'[1]AI MENSUAL'!$K$52+'[1]AI MENSUAL'!$L$52+'[1]AI MENSUAL'!$M$52</f>
        <v>30356924.780000001</v>
      </c>
      <c r="D22" s="51">
        <f>'[1]AI MENSUAL'!$F$53+'[1]AI MENSUAL'!$G$53+'[1]AI MENSUAL'!$H$53+'[1]AI MENSUAL'!$I$53+'[1]AI MENSUAL'!$J$53+'[1]AI MENSUAL'!$K$53+'[1]AI MENSUAL'!$L$53+'[1]AI MENSUAL'!$M$53</f>
        <v>1133.46</v>
      </c>
      <c r="E22" s="14">
        <f>[4]FGP!$T$27+[5]FGP!$H$27+[5]FGP!$I$27+[5]FGP!$J$27+[5]FGP!$K$27+[5]FGP!$L$27+[5]FGP!$M$27+[5]FGP!$N$27</f>
        <v>27401524.899999999</v>
      </c>
      <c r="F22" s="15">
        <f>E22/C22</f>
        <v>0.90264495164058567</v>
      </c>
      <c r="G22" s="53">
        <f>C22-E22</f>
        <v>2955399.8800000027</v>
      </c>
      <c r="H22" s="16">
        <v>3667259.35</v>
      </c>
      <c r="I22" s="16">
        <v>0</v>
      </c>
      <c r="J22" s="16">
        <f>[3]Hoja1!$B$4+[3]Hoja1!$C$4+[3]Hoja1!$D$4+[3]Hoja1!$E$4+[3]Hoja1!$F$4+[3]Hoja1!$G$4+[3]Hoja1!$H$4+[3]Hoja1!$I$4</f>
        <v>3346719.63</v>
      </c>
      <c r="K22" s="16">
        <f>+H22+I22-J22</f>
        <v>320539.7200000002</v>
      </c>
      <c r="L22" s="15">
        <f>E22/B22</f>
        <v>0.95393229567289406</v>
      </c>
      <c r="M22" s="79">
        <f>[3]Hoja1!$B$9+432486.12+[3]Hoja1!$D$8+[3]Hoja1!$E$8+[3]Hoja1!$F$8+[3]Hoja1!$G$8+[3]Hoja1!$H$8</f>
        <v>4802270.87</v>
      </c>
      <c r="N22" s="101">
        <f>M22-J21</f>
        <v>277149.91999999993</v>
      </c>
    </row>
    <row r="23" spans="1:15" ht="15.75" customHeight="1" x14ac:dyDescent="0.25">
      <c r="A23" s="17" t="s">
        <v>24</v>
      </c>
      <c r="B23" s="78">
        <v>7609418</v>
      </c>
      <c r="C23" s="51">
        <f>'[1]AI MENSUAL'!$F$101+'[1]AI MENSUAL'!$G$101+'[1]AI MENSUAL'!$H$101+'[1]AI MENSUAL'!$I$101+'[1]AI MENSUAL'!$J$101+'[1]AI MENSUAL'!$K$101+'[1]AI MENSUAL'!$L$101+'[1]AI MENSUAL'!$M$101</f>
        <v>5953659.2000000011</v>
      </c>
      <c r="D23" s="51">
        <f>'[1]AI MENSUAL'!$F$102+'[1]AI MENSUAL'!$G$102+'[1]AI MENSUAL'!$H$102+'[1]AI MENSUAL'!$I$102+'[1]AI MENSUAL'!$J$102+'[1]AI MENSUAL'!$K$102+'[1]AI MENSUAL'!$L$102+'[1]AI MENSUAL'!$M$102</f>
        <v>262.58000000000004</v>
      </c>
      <c r="E23" s="14">
        <f>[4]FISM!$T$55+[5]FISM!$H$55+[5]FISM!$I$55+[5]FISM!$J$55+[5]FISM!$K$55+[5]FISM!$L$55+[5]FISM!$M$55+[5]FISM!$N$55</f>
        <v>0</v>
      </c>
      <c r="F23" s="15">
        <f t="shared" ref="F23:F29" si="6">E23/C23</f>
        <v>0</v>
      </c>
      <c r="G23" s="53">
        <f t="shared" ref="G23:G31" si="7">C23-E23</f>
        <v>5953659.2000000011</v>
      </c>
      <c r="H23" s="16">
        <v>5954324.0499999998</v>
      </c>
      <c r="I23" s="16">
        <v>0</v>
      </c>
      <c r="J23" s="16">
        <v>0</v>
      </c>
      <c r="K23" s="16">
        <f t="shared" si="3"/>
        <v>5954324.0499999998</v>
      </c>
      <c r="L23" s="15">
        <f t="shared" si="1"/>
        <v>0</v>
      </c>
    </row>
    <row r="24" spans="1:15" ht="15.75" customHeight="1" x14ac:dyDescent="0.25">
      <c r="A24" s="17" t="s">
        <v>25</v>
      </c>
      <c r="B24" s="78">
        <v>26777000</v>
      </c>
      <c r="C24" s="51">
        <f>'[1]AI MENSUAL'!$F$104+'[1]AI MENSUAL'!$G$104+'[1]AI MENSUAL'!$H$104+'[1]AI MENSUAL'!$I$104+'[1]AI MENSUAL'!$J$104+'[1]AI MENSUAL'!$K$104+'[1]AI MENSUAL'!$L$104+'[1]AI MENSUAL'!$M$104</f>
        <v>18432930.079999998</v>
      </c>
      <c r="D24" s="51">
        <f>'[1]AI MENSUAL'!$F$105+'[1]AI MENSUAL'!$G$105+'[1]AI MENSUAL'!$H$105+'[1]AI MENSUAL'!$I$105+'[1]AI MENSUAL'!$J$105+'[1]AI MENSUAL'!$K$105+'[1]AI MENSUAL'!$L$105+'[1]AI MENSUAL'!$M$105</f>
        <v>0</v>
      </c>
      <c r="E24" s="14">
        <f>[5]FORTAMUN!$G$32+[5]FORTAMUN!$H$32+[5]FORTAMUN!$I$32+[5]FORTAMUN!$J$32+[5]FORTAMUN!$K$32+[5]FORTAMUN!$L$32+[5]FORTAMUN!$M$32+[5]FORTAMUN!$N$32</f>
        <v>15814174.869999997</v>
      </c>
      <c r="F24" s="15">
        <f t="shared" si="6"/>
        <v>0.85793060578896307</v>
      </c>
      <c r="G24" s="53">
        <f>C24-E24</f>
        <v>2618755.2100000009</v>
      </c>
      <c r="H24" s="16">
        <v>2935050.39</v>
      </c>
      <c r="I24" s="16">
        <v>0</v>
      </c>
      <c r="J24" s="16">
        <f>[3]Hoja1!$B$5+[3]Hoja1!$C$5+[3]Hoja1!$D$5+[3]Hoja1!$E$5+[3]Hoja1!$F$5+[3]Hoja1!$G$5+[3]Hoja1!$H$5+[3]Hoja1!$I$5</f>
        <v>1124056.3699999999</v>
      </c>
      <c r="K24" s="16">
        <f t="shared" si="3"/>
        <v>1810994.0200000003</v>
      </c>
      <c r="L24" s="15">
        <f t="shared" si="1"/>
        <v>0.59058799977592702</v>
      </c>
    </row>
    <row r="25" spans="1:15" ht="15.75" customHeight="1" x14ac:dyDescent="0.25">
      <c r="A25" s="17" t="s">
        <v>26</v>
      </c>
      <c r="B25" s="78">
        <v>1161847</v>
      </c>
      <c r="C25" s="51">
        <f>'[1]AI MENSUAL'!$F$77+'[1]AI MENSUAL'!$G$77+'[1]AI MENSUAL'!$H$77+'[1]AI MENSUAL'!$I$77+'[1]AI MENSUAL'!$J$77+'[1]AI MENSUAL'!$K$77+'[1]AI MENSUAL'!$L$77+'[1]AI MENSUAL'!$M$77</f>
        <v>1335130.73</v>
      </c>
      <c r="D25" s="51">
        <f>'[1]AI MENSUAL'!$F$78+'[1]AI MENSUAL'!$G$78+'[1]AI MENSUAL'!$H$78+'[1]AI MENSUAL'!$I$78+'[1]AI MENSUAL'!$J$78+'[1]AI MENSUAL'!$K$78+'[1]AI MENSUAL'!$L$78+'[1]AI MENSUAL'!$M$78</f>
        <v>23.06</v>
      </c>
      <c r="E25" s="14">
        <f>[4]FFR!$T$25+[5]FFR!$H$25+[5]FFR!$I$25+[5]FFR!$J$25+[5]FFR!$K$25+[5]FFR!$L$25+[5]FFR!$M$25+[5]FFR!$N$25</f>
        <v>924511.97</v>
      </c>
      <c r="F25" s="15">
        <f t="shared" si="6"/>
        <v>0.69245052130587992</v>
      </c>
      <c r="G25" s="53">
        <f t="shared" si="7"/>
        <v>410618.76</v>
      </c>
      <c r="H25" s="16">
        <v>420261.84</v>
      </c>
      <c r="I25" s="16">
        <v>0</v>
      </c>
      <c r="J25" s="16">
        <f>[3]Hoja1!$B$6+[3]Hoja1!$C$6+[3]Hoja1!$D$6+[3]Hoja1!$E$6+[3]Hoja1!$F$6+[3]Hoja1!$G$6+[3]Hoja1!$H$6+[3]Hoja1!$I$6</f>
        <v>33793.97</v>
      </c>
      <c r="K25" s="16">
        <f t="shared" si="3"/>
        <v>386467.87</v>
      </c>
      <c r="L25" s="15">
        <f t="shared" si="1"/>
        <v>0.79572608957978108</v>
      </c>
    </row>
    <row r="26" spans="1:15" ht="15.75" customHeight="1" x14ac:dyDescent="0.25">
      <c r="A26" s="17" t="s">
        <v>90</v>
      </c>
      <c r="B26" s="78">
        <v>12284567</v>
      </c>
      <c r="C26" s="51">
        <f>'[1]AI MENSUAL'!$F$48+'[1]AI MENSUAL'!$G$48+'[1]AI MENSUAL'!$H$48+'[1]AI MENSUAL'!$I$48+'[1]AI MENSUAL'!$J$48+'[1]AI MENSUAL'!$K$48+'[1]AI MENSUAL'!$L$48+'[1]AI MENSUAL'!$M$48</f>
        <v>9407245.1799999997</v>
      </c>
      <c r="D26" s="51">
        <f>'[1]AI MENSUAL'!$F$49+'[1]AI MENSUAL'!$G$49+'[1]AI MENSUAL'!$H$49+'[1]AI MENSUAL'!$I$49+'[1]AI MENSUAL'!$J$49+'[1]AI MENSUAL'!$K$49+'[1]AI MENSUAL'!$L$49+'[1]AI MENSUAL'!$M$49</f>
        <v>147.38</v>
      </c>
      <c r="E26" s="14">
        <f>[4]FFM!$G$21+[5]FFM!$H$21+[5]FFM!$I$21+[5]FFM!$J$21+[5]FFM!$K$21+[5]FFM!$L$21+[5]FFM!$M$21+[5]FFM!$N$21</f>
        <v>8042749.79</v>
      </c>
      <c r="F26" s="15">
        <f t="shared" si="6"/>
        <v>0.85495271315975208</v>
      </c>
      <c r="G26" s="53">
        <f t="shared" si="7"/>
        <v>1364495.3899999997</v>
      </c>
      <c r="H26" s="16">
        <v>1364659.45</v>
      </c>
      <c r="I26" s="16">
        <v>0</v>
      </c>
      <c r="J26" s="16">
        <v>0</v>
      </c>
      <c r="K26" s="16">
        <f t="shared" si="3"/>
        <v>1364659.45</v>
      </c>
      <c r="L26" s="15">
        <f t="shared" si="1"/>
        <v>0.65470356342230052</v>
      </c>
    </row>
    <row r="27" spans="1:15" ht="15.75" customHeight="1" x14ac:dyDescent="0.25">
      <c r="A27" s="17" t="s">
        <v>91</v>
      </c>
      <c r="B27" s="78">
        <v>639170</v>
      </c>
      <c r="C27" s="51">
        <f>'[1]AI MENSUAL'!$F$62+'[1]AI MENSUAL'!$G$62+'[1]AI MENSUAL'!$H$62+'[1]AI MENSUAL'!$I$62+'[1]AI MENSUAL'!$J$62+'[1]AI MENSUAL'!$K$62+'[1]AI MENSUAL'!$L$62+'[1]AI MENSUAL'!$M$62+'[1]AI MENSUAL'!$M$66</f>
        <v>547887.31000000006</v>
      </c>
      <c r="D27" s="51">
        <f>'[1]AI MENSUAL'!$F$63+'[1]AI MENSUAL'!$G$63+'[1]AI MENSUAL'!$H$63+'[1]AI MENSUAL'!$I$63+'[1]AI MENSUAL'!$J$63+'[1]AI MENSUAL'!$K$63+'[1]AI MENSUAL'!$L$63+'[1]AI MENSUAL'!$M$63</f>
        <v>0.79</v>
      </c>
      <c r="E27" s="14">
        <f>'[4]IEPS TAB'!$G$11+'[5]IEPS TAB'!$H$11+'[5]IEPS TAB'!$I$11+'[5]IEPS TAB'!$J$11+'[5]IEPS TAB'!$K$11+'[5]IEPS TAB'!$L$11+'[5]IEPS TAB'!$M$11+'[5]IEPS TAB'!$N$11</f>
        <v>486212.13</v>
      </c>
      <c r="F27" s="15">
        <f t="shared" si="6"/>
        <v>0.88743090253358847</v>
      </c>
      <c r="G27" s="53">
        <f t="shared" si="7"/>
        <v>61675.180000000051</v>
      </c>
      <c r="H27" s="16">
        <v>61676.14</v>
      </c>
      <c r="I27" s="16">
        <v>0</v>
      </c>
      <c r="J27" s="16">
        <v>0</v>
      </c>
      <c r="K27" s="16">
        <f t="shared" si="3"/>
        <v>61676.14</v>
      </c>
      <c r="L27" s="15">
        <f t="shared" si="1"/>
        <v>0.76069297682932557</v>
      </c>
    </row>
    <row r="28" spans="1:15" ht="15.75" customHeight="1" x14ac:dyDescent="0.25">
      <c r="A28" s="17" t="s">
        <v>94</v>
      </c>
      <c r="B28" s="78">
        <v>1325120</v>
      </c>
      <c r="C28" s="51">
        <f>'[1]AI MENSUAL'!$F$58+'[1]AI MENSUAL'!$G$58+'[1]AI MENSUAL'!$H$58+'[1]AI MENSUAL'!$I$58+'[1]AI MENSUAL'!$J$58+'[1]AI MENSUAL'!$K$58+'[1]AI MENSUAL'!$L$58+'[1]AI MENSUAL'!$M$58</f>
        <v>922892.02999999991</v>
      </c>
      <c r="D28" s="51">
        <f>'[1]AI MENSUAL'!$F$59+'[1]AI MENSUAL'!$G$59+'[1]AI MENSUAL'!$H$59+'[1]AI MENSUAL'!$I$59+'[1]AI MENSUAL'!$J$59+'[1]AI MENSUAL'!$K$59+'[1]AI MENSUAL'!$L$59+'[1]AI MENSUAL'!$M$59</f>
        <v>4.53</v>
      </c>
      <c r="E28" s="14">
        <f>'[4]IEPS GAS'!$G$11+'[5]IEPS GAS'!$H$11+'[5]IEPS GAS'!$I$11+'[5]IEPS GAS'!$J$11+'[5]IEPS GAS'!$K$11+'[5]IEPS GAS'!$L$11+'[5]IEPS GAS'!$M$11+'[5]IEPS GAS'!$N$11</f>
        <v>888436.48</v>
      </c>
      <c r="F28" s="15">
        <f t="shared" si="6"/>
        <v>0.96266567607047171</v>
      </c>
      <c r="G28" s="53">
        <f t="shared" si="7"/>
        <v>34455.54999999993</v>
      </c>
      <c r="H28" s="16">
        <v>34460.6</v>
      </c>
      <c r="I28" s="16">
        <v>0</v>
      </c>
      <c r="J28" s="16">
        <v>0</v>
      </c>
      <c r="K28" s="16">
        <f t="shared" si="3"/>
        <v>34460.6</v>
      </c>
      <c r="L28" s="15">
        <f t="shared" si="1"/>
        <v>0.67045737744506162</v>
      </c>
    </row>
    <row r="29" spans="1:15" ht="15.75" customHeight="1" x14ac:dyDescent="0.25">
      <c r="A29" s="17" t="s">
        <v>92</v>
      </c>
      <c r="B29" s="78">
        <v>50110</v>
      </c>
      <c r="C29" s="51">
        <f>'[1]AI MENSUAL'!$F$70+'[1]AI MENSUAL'!$G$70+'[1]AI MENSUAL'!$H$70+'[1]AI MENSUAL'!$I$70+'[1]AI MENSUAL'!$J$70+'[1]AI MENSUAL'!$K$70+'[1]AI MENSUAL'!$L$70+'[1]AI MENSUAL'!$M$70</f>
        <v>63646.400000000009</v>
      </c>
      <c r="D29" s="51">
        <f>'[1]AI MENSUAL'!$F$71+'[1]AI MENSUAL'!$G$71+'[1]AI MENSUAL'!$H$71+'[1]AI MENSUAL'!$I$71+'[1]AI MENSUAL'!$J$71+'[1]AI MENSUAL'!$K$71+'[1]AI MENSUAL'!$L$71+'[1]AI MENSUAL'!$M$71</f>
        <v>0.27999999999999997</v>
      </c>
      <c r="E29" s="14">
        <f>[4]CISAN!$G$11+[5]CISAN!$H$11+[5]CISAN!$I$11+[5]CISAN!$J$11+[5]CISAN!$K$11+[5]CISAN!$L$11+[5]CISAN!$M$11</f>
        <v>44132.27</v>
      </c>
      <c r="F29" s="15">
        <f t="shared" si="6"/>
        <v>0.69339774127051945</v>
      </c>
      <c r="G29" s="53">
        <f t="shared" si="7"/>
        <v>19514.130000000012</v>
      </c>
      <c r="H29" s="16">
        <v>19514.43</v>
      </c>
      <c r="I29" s="16">
        <v>0</v>
      </c>
      <c r="J29" s="16">
        <v>0</v>
      </c>
      <c r="K29" s="16">
        <f t="shared" si="3"/>
        <v>19514.43</v>
      </c>
      <c r="L29" s="15">
        <f t="shared" si="1"/>
        <v>0.88070784274595881</v>
      </c>
    </row>
    <row r="30" spans="1:15" ht="15.75" customHeight="1" x14ac:dyDescent="0.25">
      <c r="A30" s="17" t="s">
        <v>93</v>
      </c>
      <c r="B30" s="78">
        <v>227299</v>
      </c>
      <c r="C30" s="51">
        <f>'[1]AI MENSUAL'!$F$67+'[1]AI MENSUAL'!$G$67+'[1]AI MENSUAL'!$H$67+'[1]AI MENSUAL'!$I$67+'[1]AI MENSUAL'!$J$67+'[1]AI MENSUAL'!$K$67+'[1]AI MENSUAL'!$L$67+'[1]AI MENSUAL'!$M$67</f>
        <v>437340.57999999996</v>
      </c>
      <c r="D30" s="51">
        <f>'[1]AI MENSUAL'!$F$68+'[1]AI MENSUAL'!$G$68+'[1]AI MENSUAL'!$H$68+'[1]AI MENSUAL'!$I$68+'[1]AI MENSUAL'!$J$68+'[1]AI MENSUAL'!$K$68+'[1]AI MENSUAL'!$L$68+'[1]AI MENSUAL'!$M$68</f>
        <v>1.3599999999999999</v>
      </c>
      <c r="E30" s="14">
        <f>[4]ISAN!$G$11+[5]ISAN!$H$11+[5]ISAN!$I$11+[5]ISAN!$J$11+[5]ISAN!$K$11+[5]ISAN!$L$11+[5]ISAN!$M$11+[5]CISAN!$N$11+[5]ISAN!$N$11</f>
        <v>347991.49</v>
      </c>
      <c r="F30" s="15">
        <f>E30/C30</f>
        <v>0.79569906364508869</v>
      </c>
      <c r="G30" s="53">
        <f>C30-E30</f>
        <v>89349.089999999967</v>
      </c>
      <c r="H30" s="16">
        <v>89351.21</v>
      </c>
      <c r="I30" s="16">
        <v>0</v>
      </c>
      <c r="J30" s="16">
        <v>0</v>
      </c>
      <c r="K30" s="16">
        <f t="shared" si="3"/>
        <v>89351.21</v>
      </c>
      <c r="L30" s="15">
        <f>E30/B30</f>
        <v>1.5309855740676377</v>
      </c>
    </row>
    <row r="31" spans="1:15" ht="15.75" customHeight="1" x14ac:dyDescent="0.25">
      <c r="A31" s="17" t="s">
        <v>95</v>
      </c>
      <c r="B31" s="78">
        <v>0</v>
      </c>
      <c r="C31" s="51">
        <f>'[1]AI MENSUAL'!$F$95+'[1]AI MENSUAL'!$G$95+'[1]AI MENSUAL'!$H$95+'[1]AI MENSUAL'!$I$95+'[1]AI MENSUAL'!$J$95+'[1]AI MENSUAL'!$K$95+'[1]AI MENSUAL'!$L$95+'[1]AI MENSUAL'!$M$95</f>
        <v>40611</v>
      </c>
      <c r="D31" s="51">
        <f>'[1]AI MENSUAL'!$F$96+'[1]AI MENSUAL'!$G$96+'[1]AI MENSUAL'!$H$96+'[1]AI MENSUAL'!$I$96+'[1]AI MENSUAL'!$J$96+'[1]AI MENSUAL'!$K$96+'[1]AI MENSUAL'!$L$96+'[1]AI MENSUAL'!$M$96</f>
        <v>0.01</v>
      </c>
      <c r="E31" s="14">
        <f>[4]PRODDER!$T$12+[5]PRODDER!$U$12+[5]PRODDER!$V$12+[5]PRODDER!$W$12+[5]PRODDER!$X$12+[5]PRODDER!$Y$12+[5]PRODDER!$M$12+[5]PRODDER!$N$12</f>
        <v>0</v>
      </c>
      <c r="F31" s="15">
        <v>0</v>
      </c>
      <c r="G31" s="53">
        <f t="shared" si="7"/>
        <v>40611</v>
      </c>
      <c r="H31" s="16">
        <v>40611.65</v>
      </c>
      <c r="I31" s="16">
        <v>0</v>
      </c>
      <c r="J31" s="16">
        <v>0</v>
      </c>
      <c r="K31" s="16">
        <f t="shared" si="3"/>
        <v>40611.65</v>
      </c>
      <c r="L31" s="15">
        <v>0</v>
      </c>
    </row>
    <row r="32" spans="1:15" ht="15.75" customHeight="1" x14ac:dyDescent="0.25">
      <c r="A32" s="17" t="s">
        <v>27</v>
      </c>
      <c r="B32" s="78">
        <v>0</v>
      </c>
      <c r="C32" s="51">
        <f>'[1]AI MENSUAL'!$F$89+'[1]AI MENSUAL'!$G$89+'[1]AI MENSUAL'!$H$89+'[1]AI MENSUAL'!$I$89+'[1]AI MENSUAL'!$J$89+'[1]AI MENSUAL'!$K$89+'[1]AI MENSUAL'!$L$89+'[1]AI MENSUAL'!$M$89</f>
        <v>4481879</v>
      </c>
      <c r="D32" s="51">
        <f>'[1]AI MENSUAL'!$F$90+'[1]AI MENSUAL'!$G$90+'[1]AI MENSUAL'!$H$90+'[1]AI MENSUAL'!$I$90+'[1]AI MENSUAL'!$J$90+'[1]AI MENSUAL'!$K$90+'[1]AI MENSUAL'!$L$90+'[1]AI MENSUAL'!$M$90</f>
        <v>107.7</v>
      </c>
      <c r="E32" s="14">
        <f>[4]ISR!$T$47+[5]ISR!$H$47+[5]ISR!$I$47+[5]ISR!$J$47+[5]ISR!$K$47+[5]ISR!$L$47+[5]ISR!$M$47+[5]ISR!$N$47</f>
        <v>4314178.6500000004</v>
      </c>
      <c r="F32" s="15">
        <f>E32/C32</f>
        <v>0.96258257976174733</v>
      </c>
      <c r="G32" s="53">
        <f>C32-E32</f>
        <v>167700.34999999963</v>
      </c>
      <c r="H32" s="16">
        <v>167811.48</v>
      </c>
      <c r="I32" s="16">
        <v>0</v>
      </c>
      <c r="J32" s="16">
        <f>[3]Hoja1!$B$7+[3]Hoja1!$C$7+[3]Hoja1!$D$7+[3]Hoja1!$E$7+[3]Hoja1!$F$7+[3]Hoja1!$G$7+[3]Hoja1!$H$7</f>
        <v>20550.98</v>
      </c>
      <c r="K32" s="16">
        <f t="shared" si="3"/>
        <v>147260.5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588.11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62124.259999999995</v>
      </c>
      <c r="I33" s="19">
        <f>SUM(I34:I46)</f>
        <v>0</v>
      </c>
      <c r="J33" s="19">
        <f>SUM(J34:J46)</f>
        <v>0</v>
      </c>
      <c r="K33" s="19">
        <f>SUM(K34:K46)</f>
        <v>62124.259999999995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61974.45</v>
      </c>
      <c r="I34" s="16">
        <v>0</v>
      </c>
      <c r="J34" s="16">
        <v>0</v>
      </c>
      <c r="K34" s="16">
        <f>+H34+I34-J34</f>
        <v>61974.45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MENSUAL'!$H$54+'[1]AI MENSUAL'!$I$54+'[1]AI MENSUAL'!$J$54+'[1]AI MENSUAL'!$K$54+'[1]AI MENSUAL'!$L$54+'[1]AI MENSUAL'!$M$54</f>
        <v>117.05000000000003</v>
      </c>
      <c r="E35" s="14">
        <v>0</v>
      </c>
      <c r="F35" s="15">
        <v>0</v>
      </c>
      <c r="G35" s="53">
        <f>C35-E35</f>
        <v>0</v>
      </c>
      <c r="H35" s="16">
        <v>149.81</v>
      </c>
      <c r="I35" s="16">
        <v>0</v>
      </c>
      <c r="J35" s="16">
        <v>0</v>
      </c>
      <c r="K35" s="16">
        <f>+H35+I35-J35</f>
        <v>149.81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MENSUAL'!$H$103+'[1]AI MENSUAL'!$I$103+'[1]AI MENSUAL'!$J$103+'[1]AI MENSUAL'!$L$103+'[1]AI MENSUAL'!$M$103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MENSUAL'!$H$106+'[1]AI MENSUAL'!$I$106+'[1]AI MENSUAL'!$J$106+'[1]AI MENSUAL'!$K$106+'[1]AI MENSUAL'!$L$106+'[1]AI MENSUAL'!$M$106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MENSUAL'!$H$79+'[1]AI MENSUAL'!$I$79+'[1]AI MENSUAL'!$J$79+'[1]AI MENSUAL'!$K$79+'[1]AI MENSUAL'!$L$79+'[1]AI MENSUAL'!$M$79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MENSUAL'!$H$50+'[1]AI MENSUAL'!$I$50+'[1]AI MENSUAL'!$J$50+'[1]AI MENSUAL'!$K$50+'[1]AI MENSUAL'!$M$50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MENSUAL'!$H$64+'[1]AI MENSUAL'!$I$64+'[1]AI MENSUAL'!$J$64+'[1]AI MENSUAL'!$K$64+'[1]AI MENSUAL'!$L$64+'[1]AI MENSUAL'!$M$64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MENSUAL'!$H$60+'[1]AI MENSUAL'!$I$60+'[1]AI MENSUAL'!$J$60+'[1]AI MENSUAL'!$K$60+'[1]AI MENSUAL'!$L$60+'[1]AI MENSUAL'!$M$60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MENSUAL'!$H$72+'[1]AI MENSUAL'!$I$72+'[1]AI MENSUAL'!$J$72+'[1]AI MENSUAL'!$K$72+'[1]AI MENSUAL'!$L$72+'[1]AI MENSUAL'!$M$72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MENSUAL'!$H$69+'[1]AI MENSUAL'!$I$69+'[1]AI MENSUAL'!$J$69+'[1]AI MENSUAL'!$K$69+'[1]AI MENSUAL'!$L$69+'[1]AI MENSUAL'!$M$69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MENSUAL'!$H$97+'[1]AI MENSUAL'!$I$97+'[1]AI MENSUAL'!$J$97+'[1]AI MENSUAL'!$K$97+'[1]AI MENSUAL'!$L$97+'[1]AI MENSUAL'!$M$97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MENSUAL'!$H$91+'[1]AI MENSUAL'!$I$91+'[1]AI MENSUAL'!$J$91+'[1]AI MENSUAL'!$K$91+'[1]AI MENSUAL'!$L$91+'[1]AI MENSUAL'!$M$91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5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5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5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5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5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0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0</v>
      </c>
      <c r="L53" s="50">
        <v>0</v>
      </c>
    </row>
    <row r="54" spans="1:15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0</v>
      </c>
      <c r="I54" s="16">
        <v>0</v>
      </c>
      <c r="J54" s="16">
        <v>0</v>
      </c>
      <c r="K54" s="16">
        <f t="shared" ref="K54:K55" si="13">+H54+I54-J54</f>
        <v>0</v>
      </c>
      <c r="L54" s="15">
        <v>0</v>
      </c>
    </row>
    <row r="55" spans="1:15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5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3471.94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3471.94</v>
      </c>
      <c r="L56" s="50">
        <v>0</v>
      </c>
    </row>
    <row r="57" spans="1:15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3471.94</v>
      </c>
      <c r="I57" s="16">
        <v>0</v>
      </c>
      <c r="J57" s="16">
        <v>0</v>
      </c>
      <c r="K57" s="16">
        <f>+H57+I57-J57</f>
        <v>3471.94</v>
      </c>
      <c r="L57" s="15">
        <v>0</v>
      </c>
    </row>
    <row r="58" spans="1:15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5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5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191034952.67000002</v>
      </c>
      <c r="D60" s="55">
        <f>D14+D21+D33+D47+D53+D56</f>
        <v>8559.07</v>
      </c>
      <c r="E60" s="55">
        <f>E14+E21+E47+E53+E56</f>
        <v>58263912.549999997</v>
      </c>
      <c r="F60" s="50">
        <f>E60/C60</f>
        <v>0.30499084976688517</v>
      </c>
      <c r="G60" s="55">
        <f>G14+G21+G47+G53+G56</f>
        <v>132771040.12</v>
      </c>
      <c r="H60" s="55">
        <f>H14+H21+H33+H47+H53+H56</f>
        <v>18386312.320000004</v>
      </c>
      <c r="I60" s="19">
        <f t="shared" ref="I60" si="17">I14+I21+I47+I53+I56</f>
        <v>0</v>
      </c>
      <c r="J60" s="55">
        <f>J14+J21+J47+J53+J56</f>
        <v>5747487.0200000005</v>
      </c>
      <c r="K60" s="19">
        <f>K14+K21+K47+K53+K56</f>
        <v>12576701.040000001</v>
      </c>
      <c r="L60" s="15">
        <f>E60/B60</f>
        <v>0.35366757541070654</v>
      </c>
    </row>
    <row r="61" spans="1:15" ht="15.75" customHeight="1" x14ac:dyDescent="0.2">
      <c r="B61" s="80"/>
      <c r="C61" s="79">
        <f>'[1]AI MENSUAL'!$F$6+'[1]AI MENSUAL'!$G$6+'[1]AI MENSUAL'!$H$6+'[1]AI MENSUAL'!$I$6+'[1]AI MENSUAL'!$J$6+'[1]AI MENSUAL'!$K$6+'[1]AI MENSUAL'!$L$6+'[1]AI MENSUAL'!$M$6</f>
        <v>191037221.92999998</v>
      </c>
      <c r="D61" s="79">
        <f>'[1]AI MENSUAL'!$F$145+'[1]AI MENSUAL'!$G$145+'[1]AI MENSUAL'!$H$145+'[1]AI MENSUAL'!$I$145+'[1]AI MENSUAL'!$J$145+'[1]AI MENSUAL'!$K$145+'[1]AI MENSUAL'!$L$145+'[1]AI MENSUAL'!$M$145</f>
        <v>0</v>
      </c>
      <c r="E61" s="79">
        <f>[2]GLOBAL!$G$443+[2]GLOBAL!$H$443+[2]GLOBAL!$I$443+[2]GLOBAL!$J$443+[2]GLOBAL!$K$443+[2]GLOBAL!$L$443+[2]GLOBAL!$M$443+[2]GLOBAL!$N$443</f>
        <v>0</v>
      </c>
      <c r="G61" s="79">
        <f>C60-E60</f>
        <v>132771040.12000002</v>
      </c>
      <c r="H61" s="79">
        <v>18386312.32</v>
      </c>
      <c r="I61" s="80"/>
      <c r="J61" s="79">
        <f>[3]Hoja1!$B$9+432486.12+[3]Hoja1!$D$8+[3]Hoja1!$E$8+[3]Hoja1!$F$8+[3]Hoja1!$G$8+[3]Hoja1!$H$8+[3]Hoja1!$I$8</f>
        <v>5747487.0200000005</v>
      </c>
      <c r="K61" s="56"/>
    </row>
    <row r="62" spans="1:15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5" ht="15.75" customHeight="1" x14ac:dyDescent="0.2">
      <c r="C63" s="129"/>
      <c r="D63" s="129"/>
      <c r="E63" s="129"/>
      <c r="F63" s="129"/>
      <c r="G63" s="60"/>
      <c r="H63" s="129"/>
      <c r="I63" s="129"/>
    </row>
    <row r="64" spans="1:15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130" t="s">
        <v>8</v>
      </c>
      <c r="L64" s="1" t="s">
        <v>114</v>
      </c>
      <c r="M64" s="56">
        <f>C61-C60</f>
        <v>2269.2599999606609</v>
      </c>
      <c r="N64" s="56">
        <f>M64-D33</f>
        <v>1681.1499999606608</v>
      </c>
      <c r="O64" s="56"/>
    </row>
    <row r="65" spans="1:15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M65" s="56">
        <f>E61-E60</f>
        <v>-58263912.549999997</v>
      </c>
      <c r="N65" s="80"/>
      <c r="O65" s="80"/>
    </row>
    <row r="66" spans="1:15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[3]Hoja1!$B$18+[3]Hoja1!$C$18+[3]Hoja1!$D$18+[3]Hoja1!$E$18+[3]Hoja1!$F$18+[3]Hoja1!$G$18+[3]Hoja1!$H$18+[3]Hoja1!$I$18</f>
        <v>60922</v>
      </c>
      <c r="H66" s="206"/>
      <c r="I66" s="23">
        <f t="shared" ref="I66:I72" si="18">G66/D66</f>
        <v>0.5391327433628319</v>
      </c>
    </row>
    <row r="67" spans="1:15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[3]Hoja1!$B$28+[3]Hoja1!$C$28+[3]Hoja1!$D$29+[3]Hoja1!$E$28+[3]Hoja1!$F$28+[3]Hoja1!$G$28+[3]Hoja1!$H$28+[3]Hoja1!$I$28</f>
        <v>7224048.8100000005</v>
      </c>
      <c r="H67" s="206"/>
      <c r="I67" s="23">
        <f t="shared" si="18"/>
        <v>0.56288177993535615</v>
      </c>
    </row>
    <row r="68" spans="1:15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[3]Hoja1!$B$39+[3]Hoja1!$C$39+[3]Hoja1!$D$39+[3]Hoja1!$E$39+[3]Hoja1!$E$39+[3]Hoja1!$F$39+[3]Hoja1!$G$39+[3]Hoja1!$H$39+[3]Hoja1!$I$39</f>
        <v>1195554.31</v>
      </c>
      <c r="H68" s="206"/>
      <c r="I68" s="23">
        <f t="shared" si="18"/>
        <v>2.7632013081563316</v>
      </c>
    </row>
    <row r="69" spans="1:15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[3]Hoja1!$B$49+[3]Hoja1!$C$49+[3]Hoja1!$D$49+[3]Hoja1!$E$49+[3]Hoja1!$E$49+[3]Hoja1!$F$49+[3]Hoja1!$H$49+[3]Hoja1!$I$49</f>
        <v>92286.01</v>
      </c>
      <c r="H69" s="206"/>
      <c r="I69" s="23">
        <f t="shared" si="18"/>
        <v>0.64087506944444439</v>
      </c>
    </row>
    <row r="70" spans="1:15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[3]Hoja1!$B$59+[3]Hoja1!$C$60+[3]Hoja1!$D$59+[3]Hoja1!$E$59+[3]Hoja1!$F$59+[3]Hoja1!$G$59+[3]Hoja1!$H$59+[3]Hoja1!$I$59</f>
        <v>0</v>
      </c>
      <c r="H70" s="206"/>
      <c r="I70" s="23">
        <f t="shared" si="18"/>
        <v>0</v>
      </c>
    </row>
    <row r="71" spans="1:15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[3]Hoja1!$B$69+[3]Hoja1!$C$69+[3]Hoja1!$D$70+[3]Hoja1!$E$69+[3]Hoja1!$F$69+[3]Hoja1!$G$49+[3]Hoja1!$G$69+[3]Hoja1!$H$69+[3]Hoja1!$I$69</f>
        <v>33667.279999999999</v>
      </c>
      <c r="H71" s="206"/>
      <c r="I71" s="23">
        <f t="shared" si="18"/>
        <v>2.7988647612298162E-2</v>
      </c>
    </row>
    <row r="72" spans="1:15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8606478.4100000001</v>
      </c>
      <c r="H72" s="206"/>
      <c r="I72" s="23">
        <f t="shared" si="18"/>
        <v>0.44485733673451339</v>
      </c>
    </row>
    <row r="73" spans="1:15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5" ht="15.75" customHeight="1" x14ac:dyDescent="0.2"/>
    <row r="75" spans="1:15" s="27" customFormat="1" ht="15.75" customHeight="1" x14ac:dyDescent="0.3">
      <c r="B75" s="208" t="s">
        <v>36</v>
      </c>
      <c r="C75" s="208"/>
      <c r="D75" s="128"/>
      <c r="G75" s="209" t="s">
        <v>37</v>
      </c>
      <c r="H75" s="209"/>
      <c r="J75" s="209" t="s">
        <v>38</v>
      </c>
      <c r="K75" s="209"/>
    </row>
    <row r="76" spans="1:15" s="27" customFormat="1" ht="15.75" customHeight="1" x14ac:dyDescent="0.3">
      <c r="B76" s="128"/>
      <c r="C76" s="128"/>
      <c r="D76" s="128"/>
      <c r="G76" s="62"/>
      <c r="H76" s="123"/>
      <c r="J76" s="123"/>
      <c r="K76" s="123"/>
    </row>
    <row r="77" spans="1:15" s="27" customFormat="1" ht="15.75" customHeight="1" x14ac:dyDescent="0.3">
      <c r="B77" s="212" t="s">
        <v>109</v>
      </c>
      <c r="C77" s="212"/>
      <c r="D77" s="124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5" s="27" customFormat="1" ht="15.75" customHeight="1" x14ac:dyDescent="0.3">
      <c r="A78" s="30"/>
      <c r="B78" s="212" t="s">
        <v>89</v>
      </c>
      <c r="C78" s="212"/>
      <c r="D78" s="124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5" s="27" customFormat="1" ht="15.75" customHeight="1" x14ac:dyDescent="0.3">
      <c r="A79" s="30"/>
      <c r="B79" s="214"/>
      <c r="C79" s="214"/>
      <c r="D79" s="127"/>
      <c r="G79" s="214"/>
      <c r="H79" s="214"/>
      <c r="J79" s="214"/>
      <c r="K79" s="214"/>
    </row>
    <row r="80" spans="1:15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125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126"/>
      <c r="B91" s="126"/>
      <c r="C91" s="126"/>
      <c r="D91" s="126"/>
      <c r="E91" s="126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E136:T136"/>
    <mergeCell ref="E104:L104"/>
    <mergeCell ref="E106:L106"/>
    <mergeCell ref="E108:L108"/>
    <mergeCell ref="E122:L122"/>
    <mergeCell ref="E134:T134"/>
    <mergeCell ref="E135:T135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B77:C77"/>
    <mergeCell ref="F77:H77"/>
    <mergeCell ref="J77:K77"/>
    <mergeCell ref="B78:C78"/>
    <mergeCell ref="F78:H78"/>
    <mergeCell ref="J78:K78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68:C68"/>
    <mergeCell ref="D68:F68"/>
    <mergeCell ref="G68:H68"/>
    <mergeCell ref="B69:C69"/>
    <mergeCell ref="D69:F69"/>
    <mergeCell ref="G69:H69"/>
    <mergeCell ref="B66:C66"/>
    <mergeCell ref="D66:F66"/>
    <mergeCell ref="G66:H66"/>
    <mergeCell ref="B67:C67"/>
    <mergeCell ref="D67:F67"/>
    <mergeCell ref="G67:H67"/>
    <mergeCell ref="C62:I62"/>
    <mergeCell ref="B64:C64"/>
    <mergeCell ref="D64:F64"/>
    <mergeCell ref="G64:H64"/>
    <mergeCell ref="B65:C65"/>
    <mergeCell ref="D65:F65"/>
    <mergeCell ref="G65:H65"/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</mergeCells>
  <pageMargins left="0.51" right="0.46" top="0.39370078740157483" bottom="0.43307086614173229" header="0" footer="0"/>
  <pageSetup paperSize="5" scale="62" fitToHeight="0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T146"/>
  <sheetViews>
    <sheetView zoomScaleNormal="100" zoomScaleSheetLayoutView="100" workbookViewId="0">
      <pane ySplit="13" topLeftCell="A14" activePane="bottomLeft" state="frozen"/>
      <selection pane="bottomLeft" activeCell="J75" sqref="J75:K75"/>
    </sheetView>
  </sheetViews>
  <sheetFormatPr baseColWidth="10" defaultRowHeight="12.75" x14ac:dyDescent="0.2"/>
  <cols>
    <col min="1" max="1" width="34.140625" style="1" customWidth="1"/>
    <col min="2" max="2" width="14.7109375" style="1" customWidth="1"/>
    <col min="3" max="4" width="16.42578125" style="1" customWidth="1"/>
    <col min="5" max="5" width="14" style="1" customWidth="1"/>
    <col min="6" max="6" width="6" style="1" customWidth="1"/>
    <col min="7" max="7" width="12.7109375" style="12" customWidth="1"/>
    <col min="8" max="9" width="13.7109375" style="1" customWidth="1"/>
    <col min="10" max="11" width="14.28515625" style="1" customWidth="1"/>
    <col min="12" max="12" width="8.28515625" style="1" customWidth="1"/>
    <col min="13" max="13" width="12.5703125" style="1" bestFit="1" customWidth="1"/>
    <col min="14" max="15" width="12.85546875" style="1" bestFit="1" customWidth="1"/>
    <col min="16" max="16384" width="11.42578125" style="1"/>
  </cols>
  <sheetData>
    <row r="3" spans="1:19" ht="15.75" customHeight="1" x14ac:dyDescent="0.25">
      <c r="A3" s="189" t="s">
        <v>88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9" ht="15.75" customHeight="1" x14ac:dyDescent="0.25">
      <c r="A4" s="2"/>
      <c r="B4" s="2"/>
      <c r="C4" s="2"/>
      <c r="D4" s="2"/>
      <c r="E4" s="2"/>
      <c r="F4" s="2"/>
      <c r="G4" s="57"/>
      <c r="H4" s="2"/>
      <c r="I4" s="2"/>
      <c r="J4" s="2"/>
      <c r="K4" s="2"/>
      <c r="L4" s="2"/>
    </row>
    <row r="5" spans="1:19" ht="15.75" customHeight="1" x14ac:dyDescent="0.25">
      <c r="A5" s="189" t="s">
        <v>0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</row>
    <row r="6" spans="1:19" ht="15.75" customHeight="1" x14ac:dyDescent="0.25">
      <c r="A6" s="133"/>
      <c r="B6" s="133"/>
      <c r="C6" s="133"/>
      <c r="D6" s="133"/>
      <c r="E6" s="133"/>
      <c r="F6" s="133"/>
      <c r="G6" s="7"/>
      <c r="H6" s="133"/>
      <c r="I6" s="133"/>
      <c r="J6" s="133"/>
      <c r="K6" s="133"/>
      <c r="L6" s="133"/>
    </row>
    <row r="7" spans="1:19" ht="15.75" customHeight="1" x14ac:dyDescent="0.3">
      <c r="A7" s="190" t="s">
        <v>107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4"/>
      <c r="N7" s="4"/>
      <c r="O7" s="4"/>
      <c r="P7" s="4"/>
      <c r="Q7" s="4"/>
      <c r="R7" s="4"/>
      <c r="S7" s="4"/>
    </row>
    <row r="8" spans="1:19" ht="15.75" customHeight="1" x14ac:dyDescent="0.3">
      <c r="A8" s="134"/>
      <c r="B8" s="134"/>
      <c r="C8" s="134"/>
      <c r="D8" s="134"/>
      <c r="E8" s="134"/>
      <c r="F8" s="134"/>
      <c r="G8" s="58"/>
      <c r="H8" s="134"/>
      <c r="I8" s="134"/>
      <c r="J8" s="134"/>
      <c r="K8" s="134"/>
      <c r="L8" s="134"/>
      <c r="M8" s="4"/>
      <c r="N8" s="4"/>
      <c r="O8" s="4"/>
      <c r="P8" s="4"/>
      <c r="Q8" s="4"/>
      <c r="R8" s="4"/>
      <c r="S8" s="4"/>
    </row>
    <row r="9" spans="1:19" ht="15.75" customHeight="1" x14ac:dyDescent="0.25">
      <c r="A9" s="6"/>
      <c r="B9" s="7"/>
      <c r="C9" s="7"/>
      <c r="D9" s="133"/>
      <c r="E9" s="133"/>
      <c r="F9" s="133"/>
      <c r="G9" s="7"/>
      <c r="H9" s="133"/>
      <c r="I9" s="133"/>
      <c r="J9" s="133"/>
      <c r="K9" s="133"/>
      <c r="L9" s="133"/>
    </row>
    <row r="10" spans="1:19" ht="15.75" customHeight="1" x14ac:dyDescent="0.2">
      <c r="B10" s="8"/>
      <c r="C10" s="8"/>
      <c r="D10" s="8"/>
      <c r="E10" s="9"/>
      <c r="F10" s="9"/>
      <c r="G10" s="59"/>
    </row>
    <row r="11" spans="1:19" ht="15.75" customHeight="1" x14ac:dyDescent="0.25">
      <c r="C11" s="191" t="s">
        <v>1</v>
      </c>
      <c r="D11" s="191"/>
      <c r="E11" s="192"/>
      <c r="F11" s="192"/>
      <c r="G11" s="192"/>
      <c r="H11" s="191" t="s">
        <v>2</v>
      </c>
      <c r="I11" s="191"/>
      <c r="J11" s="191"/>
      <c r="K11" s="191"/>
    </row>
    <row r="12" spans="1:19" ht="15.75" customHeight="1" x14ac:dyDescent="0.25">
      <c r="A12" s="193" t="s">
        <v>3</v>
      </c>
      <c r="B12" s="195" t="s">
        <v>4</v>
      </c>
      <c r="C12" s="195" t="s">
        <v>5</v>
      </c>
      <c r="D12" s="195" t="s">
        <v>6</v>
      </c>
      <c r="E12" s="188" t="s">
        <v>7</v>
      </c>
      <c r="F12" s="188" t="s">
        <v>8</v>
      </c>
      <c r="G12" s="193" t="s">
        <v>9</v>
      </c>
      <c r="H12" s="188" t="s">
        <v>10</v>
      </c>
      <c r="I12" s="188" t="s">
        <v>11</v>
      </c>
      <c r="J12" s="188" t="s">
        <v>12</v>
      </c>
      <c r="K12" s="188" t="s">
        <v>13</v>
      </c>
      <c r="L12" s="135" t="s">
        <v>14</v>
      </c>
    </row>
    <row r="13" spans="1:19" ht="25.5" customHeight="1" x14ac:dyDescent="0.2">
      <c r="A13" s="194"/>
      <c r="B13" s="195"/>
      <c r="C13" s="195"/>
      <c r="D13" s="195"/>
      <c r="E13" s="188"/>
      <c r="F13" s="188"/>
      <c r="G13" s="194"/>
      <c r="H13" s="188"/>
      <c r="I13" s="188"/>
      <c r="J13" s="188"/>
      <c r="K13" s="188"/>
      <c r="L13" s="77" t="s">
        <v>15</v>
      </c>
      <c r="M13" s="12"/>
    </row>
    <row r="14" spans="1:19" ht="15.75" customHeight="1" x14ac:dyDescent="0.25">
      <c r="A14" s="13" t="s">
        <v>16</v>
      </c>
      <c r="B14" s="55">
        <f>SUM(B15:B20)</f>
        <v>85942683</v>
      </c>
      <c r="C14" s="55">
        <f>SUM(C15:C20)</f>
        <v>120608030.64</v>
      </c>
      <c r="D14" s="55">
        <f>SUM(D15:D20)</f>
        <v>6376.2599999999993</v>
      </c>
      <c r="E14" s="19">
        <f>SUM(E15:E20)</f>
        <v>121918171.89</v>
      </c>
      <c r="F14" s="50">
        <f>E14/C14</f>
        <v>1.0108628027756346</v>
      </c>
      <c r="G14" s="54">
        <f>C14-E14</f>
        <v>-1310141.25</v>
      </c>
      <c r="H14" s="19">
        <f>SUM(H15:H20)</f>
        <v>1129835.7</v>
      </c>
      <c r="I14" s="19">
        <f>SUM(I15:I20)</f>
        <v>3744661.15</v>
      </c>
      <c r="J14" s="19">
        <f t="shared" ref="J14" si="0">SUM(J15:J20)</f>
        <v>1243749.8500000001</v>
      </c>
      <c r="K14" s="20">
        <f>+H14+I14-J14</f>
        <v>3630746.9999999995</v>
      </c>
      <c r="L14" s="50">
        <f>E14/B14</f>
        <v>1.4185986245041944</v>
      </c>
    </row>
    <row r="15" spans="1:19" ht="15.75" customHeight="1" x14ac:dyDescent="0.25">
      <c r="A15" s="17" t="s">
        <v>17</v>
      </c>
      <c r="B15" s="78">
        <f>80209+56555615</f>
        <v>56635824</v>
      </c>
      <c r="C15" s="51">
        <f>'[1]AI MENSUAL'!$F$10+'[1]AI MENSUAL'!$G$10+'[1]AI MENSUAL'!$H$10+'[1]AI MENSUAL'!$I$10+'[1]AI MENSUAL'!$J$10+'[1]AI MENSUAL'!$K$10+'[1]AI MENSUAL'!$L$10+'[1]AI MENSUAL'!$M$10+'[1]AI MENSUAL'!$N$10</f>
        <v>107977427.82000001</v>
      </c>
      <c r="D15" s="51">
        <v>0</v>
      </c>
      <c r="E15" s="51">
        <v>121918171.89</v>
      </c>
      <c r="F15" s="15">
        <f>E15/C15</f>
        <v>1.1291079473872949</v>
      </c>
      <c r="G15" s="53">
        <f>C15-E15</f>
        <v>-13940744.069999993</v>
      </c>
      <c r="H15" s="16">
        <f>371822.56+758013.14</f>
        <v>1129835.7</v>
      </c>
      <c r="I15" s="16">
        <v>3744661.15</v>
      </c>
      <c r="J15" s="16">
        <f>[3]Hoja1!$B$3+[3]Hoja1!$C$3+[3]Hoja1!$D$3+[3]Hoja1!$E$3+[3]Hoja1!$F$3+[3]Hoja1!$G$3+[3]Hoja1!$H$3+[3]Hoja1!$I$3+[3]Hoja1!$J$3</f>
        <v>1243749.8500000001</v>
      </c>
      <c r="K15" s="16">
        <f>+H15+I15-J15</f>
        <v>3630746.9999999995</v>
      </c>
      <c r="L15" s="15">
        <f t="shared" ref="L15:L29" si="1">E15/B15</f>
        <v>2.1526688106453613</v>
      </c>
    </row>
    <row r="16" spans="1:19" ht="15.75" customHeight="1" x14ac:dyDescent="0.25">
      <c r="A16" s="17" t="s">
        <v>18</v>
      </c>
      <c r="B16" s="78">
        <f>24254432</f>
        <v>24254432</v>
      </c>
      <c r="C16" s="51">
        <f>'[1]AI MENSUAL'!$F$30+'[1]AI MENSUAL'!$G$30+'[1]AI MENSUAL'!$H$30+'[1]AI MENSUAL'!$I$30+'[1]AI MENSUAL'!$J$30+'[1]AI MENSUAL'!$K$30+'[1]AI MENSUAL'!$L$30+'[1]AI MENSUAL'!$M$30+'[1]AI MENSUAL'!$N$30</f>
        <v>8570921.9600000009</v>
      </c>
      <c r="D16" s="14">
        <v>0</v>
      </c>
      <c r="E16" s="14">
        <v>0</v>
      </c>
      <c r="F16" s="15">
        <f t="shared" ref="F16:F18" si="2">E16/C16</f>
        <v>0</v>
      </c>
      <c r="G16" s="53">
        <f>C16-E16</f>
        <v>8570921.9600000009</v>
      </c>
      <c r="H16" s="16">
        <v>0</v>
      </c>
      <c r="I16" s="16">
        <v>0</v>
      </c>
      <c r="J16" s="16">
        <v>0</v>
      </c>
      <c r="K16" s="16">
        <f t="shared" ref="K16:K30" si="3">+H16+I16-J16</f>
        <v>0</v>
      </c>
      <c r="L16" s="15">
        <f t="shared" si="1"/>
        <v>0</v>
      </c>
    </row>
    <row r="17" spans="1:16" ht="15.75" customHeight="1" x14ac:dyDescent="0.25">
      <c r="A17" s="17" t="s">
        <v>19</v>
      </c>
      <c r="B17" s="78">
        <v>3924676</v>
      </c>
      <c r="C17" s="51">
        <f>'[1]AI MENSUAL'!$F$39+'[1]AI MENSUAL'!$G$39+'[1]AI MENSUAL'!$H$39+'[1]AI MENSUAL'!$I$39+'[1]AI MENSUAL'!$J$39+'[1]AI MENSUAL'!$K$39+'[1]AI MENSUAL'!$L$39+'[1]AI MENSUAL'!$M$39+'[1]AI MENSUAL'!$N$39</f>
        <v>4053304.6</v>
      </c>
      <c r="D17" s="14">
        <v>0</v>
      </c>
      <c r="E17" s="14">
        <v>0</v>
      </c>
      <c r="F17" s="15">
        <f t="shared" si="2"/>
        <v>0</v>
      </c>
      <c r="G17" s="53">
        <f>C17-E17</f>
        <v>4053304.6</v>
      </c>
      <c r="H17" s="16">
        <v>0</v>
      </c>
      <c r="I17" s="16">
        <v>0</v>
      </c>
      <c r="J17" s="16">
        <v>0</v>
      </c>
      <c r="K17" s="16">
        <f t="shared" si="3"/>
        <v>0</v>
      </c>
      <c r="L17" s="15">
        <f t="shared" si="1"/>
        <v>0</v>
      </c>
    </row>
    <row r="18" spans="1:16" ht="15.75" customHeight="1" x14ac:dyDescent="0.25">
      <c r="A18" s="17" t="s">
        <v>20</v>
      </c>
      <c r="B18" s="78">
        <v>1127751</v>
      </c>
      <c r="C18" s="51">
        <f>'[1]AI MENSUAL'!$F$35+'[1]AI MENSUAL'!$G$35+'[1]AI MENSUAL'!$H$35+'[1]AI MENSUAL'!$I$35+'[1]AI MENSUAL'!$J$35+'[1]AI MENSUAL'!$K$35+'[1]AI MENSUAL'!$L$35+'[1]AI MENSUAL'!$M$35+'[1]AI MENSUAL'!$N$35</f>
        <v>6376.2599999999993</v>
      </c>
      <c r="D18" s="51">
        <f>'[1]AI MENSUAL'!$F$35+'[1]AI MENSUAL'!$G$35+'[1]AI MENSUAL'!$H$35+'[1]AI MENSUAL'!$I$35+'[1]AI MENSUAL'!$J$35+'[1]AI MENSUAL'!$K$35+'[1]AI MENSUAL'!$L$35+'[1]AI MENSUAL'!$M$35+'[1]AI MENSUAL'!$N$35</f>
        <v>6376.2599999999993</v>
      </c>
      <c r="E18" s="14">
        <v>0</v>
      </c>
      <c r="F18" s="15">
        <f t="shared" si="2"/>
        <v>0</v>
      </c>
      <c r="G18" s="53">
        <f>C18-E18</f>
        <v>6376.2599999999993</v>
      </c>
      <c r="H18" s="16">
        <v>0</v>
      </c>
      <c r="I18" s="16">
        <v>0</v>
      </c>
      <c r="J18" s="16">
        <v>0</v>
      </c>
      <c r="K18" s="16">
        <f t="shared" si="3"/>
        <v>0</v>
      </c>
      <c r="L18" s="15">
        <f t="shared" si="1"/>
        <v>0</v>
      </c>
    </row>
    <row r="19" spans="1:16" ht="15.75" customHeight="1" x14ac:dyDescent="0.25">
      <c r="A19" s="17" t="s">
        <v>21</v>
      </c>
      <c r="B19" s="78">
        <v>0</v>
      </c>
      <c r="C19" s="51">
        <v>0</v>
      </c>
      <c r="D19" s="51">
        <v>0</v>
      </c>
      <c r="E19" s="14">
        <v>0</v>
      </c>
      <c r="F19" s="15">
        <v>0</v>
      </c>
      <c r="G19" s="53">
        <f t="shared" ref="G19:G20" si="4">C19-E19</f>
        <v>0</v>
      </c>
      <c r="H19" s="16">
        <v>0</v>
      </c>
      <c r="I19" s="16">
        <v>0</v>
      </c>
      <c r="J19" s="16">
        <v>0</v>
      </c>
      <c r="K19" s="16">
        <f t="shared" si="3"/>
        <v>0</v>
      </c>
      <c r="L19" s="15">
        <v>0</v>
      </c>
    </row>
    <row r="20" spans="1:16" ht="15.75" customHeight="1" x14ac:dyDescent="0.25">
      <c r="A20" s="17" t="s">
        <v>22</v>
      </c>
      <c r="B20" s="78">
        <v>0</v>
      </c>
      <c r="C20" s="51">
        <v>0</v>
      </c>
      <c r="D20" s="51">
        <v>0</v>
      </c>
      <c r="E20" s="14">
        <v>0</v>
      </c>
      <c r="F20" s="15">
        <v>0</v>
      </c>
      <c r="G20" s="53">
        <f t="shared" si="4"/>
        <v>0</v>
      </c>
      <c r="H20" s="16">
        <v>0</v>
      </c>
      <c r="I20" s="16">
        <v>0</v>
      </c>
      <c r="J20" s="16">
        <v>0</v>
      </c>
      <c r="K20" s="16">
        <f t="shared" si="3"/>
        <v>0</v>
      </c>
      <c r="L20" s="15">
        <v>0</v>
      </c>
    </row>
    <row r="21" spans="1:16" ht="15.75" customHeight="1" x14ac:dyDescent="0.25">
      <c r="A21" s="13" t="s">
        <v>113</v>
      </c>
      <c r="B21" s="55">
        <f>SUM(B22:B32)</f>
        <v>78799342</v>
      </c>
      <c r="C21" s="55">
        <f>SUM(C22:C32)</f>
        <v>80647716.100000009</v>
      </c>
      <c r="D21" s="55">
        <f>SUM(D22:D32)</f>
        <v>2085.7400000000002</v>
      </c>
      <c r="E21" s="19">
        <f>SUM(E22:E32)</f>
        <v>64017118.230000012</v>
      </c>
      <c r="F21" s="50">
        <f>E21/C21</f>
        <v>0.79378711916182843</v>
      </c>
      <c r="G21" s="54">
        <f>C21-E21</f>
        <v>16630597.869999997</v>
      </c>
      <c r="H21" s="19">
        <f>SUM(H22:H32)</f>
        <v>17667726.819999997</v>
      </c>
      <c r="I21" s="19">
        <f t="shared" ref="I21:K21" si="5">SUM(I22:I32)</f>
        <v>0</v>
      </c>
      <c r="J21" s="19">
        <f>SUM(J22:J32)</f>
        <v>4915529.63</v>
      </c>
      <c r="K21" s="19">
        <f t="shared" si="5"/>
        <v>12752197.190000001</v>
      </c>
      <c r="L21" s="50">
        <f>E21/B21</f>
        <v>0.81240676134072298</v>
      </c>
      <c r="M21" s="1">
        <v>18797562.52</v>
      </c>
      <c r="N21" s="101">
        <f>M21-H21</f>
        <v>1129835.700000003</v>
      </c>
      <c r="O21" s="56"/>
    </row>
    <row r="22" spans="1:16" ht="15.75" customHeight="1" x14ac:dyDescent="0.25">
      <c r="A22" s="17" t="s">
        <v>23</v>
      </c>
      <c r="B22" s="78">
        <v>28724811</v>
      </c>
      <c r="C22" s="51">
        <f>'[1]AI MENSUAL'!$F$52+'[1]AI MENSUAL'!$G$52+'[1]AI MENSUAL'!$H$52+'[1]AI MENSUAL'!$I$52+'[1]AI MENSUAL'!$J$52+'[1]AI MENSUAL'!$K$52+'[1]AI MENSUAL'!$L$52+'[1]AI MENSUAL'!$M$52+'[1]AI MENSUAL'!$N$52</f>
        <v>34154582.670000002</v>
      </c>
      <c r="D22" s="51">
        <f>'[1]AI MENSUAL'!$F$53+'[1]AI MENSUAL'!$G$53+'[1]AI MENSUAL'!$H$53+'[1]AI MENSUAL'!$I$53+'[1]AI MENSUAL'!$J$53+'[1]AI MENSUAL'!$K$53+'[1]AI MENSUAL'!$L$53+'[1]AI MENSUAL'!$M$53+'[1]AI MENSUAL'!$N$53</f>
        <v>1328.3200000000002</v>
      </c>
      <c r="E22" s="14">
        <v>29958562.93</v>
      </c>
      <c r="F22" s="15">
        <f>E22/C22</f>
        <v>0.87714621547152982</v>
      </c>
      <c r="G22" s="53">
        <f>C22-E22</f>
        <v>4196019.7400000021</v>
      </c>
      <c r="H22" s="16">
        <f>3061939.32+1890151.1</f>
        <v>4952090.42</v>
      </c>
      <c r="I22" s="16">
        <v>0</v>
      </c>
      <c r="J22" s="16">
        <f>[3]Hoja1!$B$4+[3]Hoja1!$C$4+[3]Hoja1!$D$4+[3]Hoja1!$E$4+[3]Hoja1!$F$4+[3]Hoja1!$G$4+[3]Hoja1!$H$4+[3]Hoja1!$I$4+[3]Hoja1!$J$4</f>
        <v>3622611.9</v>
      </c>
      <c r="K22" s="16">
        <f>+H22+I22-J22</f>
        <v>1329478.52</v>
      </c>
      <c r="L22" s="15">
        <f>E22/B22</f>
        <v>1.0429507414339472</v>
      </c>
      <c r="M22" s="79">
        <f>[3]Hoja1!$B$9+[3]Hoja1!$C$9+[3]Hoja1!$D$9+[3]Hoja1!$E$9+[3]Hoja1!$F$9+[3]Hoja1!$G$9+[3]Hoja1!$H$9+[3]Hoja1!$I$9+[3]Hoja1!$J$9</f>
        <v>6159279.4800000004</v>
      </c>
      <c r="N22" s="101">
        <f>M22-J21</f>
        <v>1243749.8500000006</v>
      </c>
    </row>
    <row r="23" spans="1:16" ht="15.75" customHeight="1" x14ac:dyDescent="0.25">
      <c r="A23" s="17" t="s">
        <v>24</v>
      </c>
      <c r="B23" s="78">
        <v>7609418</v>
      </c>
      <c r="C23" s="51">
        <f>'[1]AI MENSUAL'!$F$101+'[1]AI MENSUAL'!$G$101+'[1]AI MENSUAL'!$H$101+'[1]AI MENSUAL'!$I$101+'[1]AI MENSUAL'!$J$101+'[1]AI MENSUAL'!$K$101+'[1]AI MENSUAL'!$L$101+'[1]AI MENSUAL'!$M$101+'[1]AI MENSUAL'!$N$101</f>
        <v>6697866.6000000015</v>
      </c>
      <c r="D23" s="51">
        <f>'[1]AI MENSUAL'!$F$102+'[1]AI MENSUAL'!$G$102+'[1]AI MENSUAL'!$H$102+'[1]AI MENSUAL'!$I$102+'[1]AI MENSUAL'!$J$102+'[1]AI MENSUAL'!$K$102+'[1]AI MENSUAL'!$L$102+'[1]AI MENSUAL'!$M$102+'[1]AI MENSUAL'!$N$102</f>
        <v>442.87</v>
      </c>
      <c r="E23" s="14">
        <f>[4]FISM!$T$55+[5]FISM!$H$55+[5]FISM!$I$55+[5]FISM!$J$55+[5]FISM!$K$55+[5]FISM!$L$55+[5]FISM!$M$55+[5]FISM!$N$55+[5]FISM!$O$55</f>
        <v>0</v>
      </c>
      <c r="F23" s="15">
        <f t="shared" ref="F23:F29" si="6">E23/C23</f>
        <v>0</v>
      </c>
      <c r="G23" s="53">
        <f t="shared" ref="G23:G31" si="7">C23-E23</f>
        <v>6697866.6000000015</v>
      </c>
      <c r="H23" s="16">
        <f>5954504.34+744207.4</f>
        <v>6698711.7400000002</v>
      </c>
      <c r="I23" s="16">
        <v>0</v>
      </c>
      <c r="J23" s="16">
        <v>0</v>
      </c>
      <c r="K23" s="16">
        <f t="shared" si="3"/>
        <v>6698711.7400000002</v>
      </c>
      <c r="L23" s="15">
        <f t="shared" si="1"/>
        <v>0</v>
      </c>
    </row>
    <row r="24" spans="1:16" ht="15.75" customHeight="1" x14ac:dyDescent="0.25">
      <c r="A24" s="17" t="s">
        <v>25</v>
      </c>
      <c r="B24" s="78">
        <v>26777000</v>
      </c>
      <c r="C24" s="51">
        <f>'[1]AI MENSUAL'!$F$104+'[1]AI MENSUAL'!$G$104+'[1]AI MENSUAL'!$H$104+'[1]AI MENSUAL'!$I$104+'[1]AI MENSUAL'!$J$104+'[1]AI MENSUAL'!$K$104+'[1]AI MENSUAL'!$L$104+'[1]AI MENSUAL'!$M$104+'[1]AI MENSUAL'!$N$104</f>
        <v>20737046.339999996</v>
      </c>
      <c r="D24" s="51">
        <f>'[1]AI MENSUAL'!$F$105+'[1]AI MENSUAL'!$G$105+'[1]AI MENSUAL'!$H$105+'[1]AI MENSUAL'!$I$105+'[1]AI MENSUAL'!$J$105+'[1]AI MENSUAL'!$K$105+'[1]AI MENSUAL'!$L$105+'[1]AI MENSUAL'!$M$105+'[1]AI MENSUAL'!$N$105</f>
        <v>0</v>
      </c>
      <c r="E24" s="14">
        <v>18278815.109999999</v>
      </c>
      <c r="F24" s="15">
        <f t="shared" si="6"/>
        <v>0.8814570219068143</v>
      </c>
      <c r="G24" s="53">
        <f>C24-E24</f>
        <v>2458231.2299999967</v>
      </c>
      <c r="H24" s="16">
        <f>100000+2587604.38</f>
        <v>2687604.38</v>
      </c>
      <c r="I24" s="16">
        <v>0</v>
      </c>
      <c r="J24" s="16">
        <f>[3]Hoja1!$B$5+[3]Hoja1!$C$5+[3]Hoja1!$D$5+[3]Hoja1!$E$5+[3]Hoja1!$F$5+[3]Hoja1!$G$5+[3]Hoja1!$H$5+[3]Hoja1!$I$5+[3]Hoja1!$J$5</f>
        <v>1236533.0499999998</v>
      </c>
      <c r="K24" s="16">
        <f t="shared" si="3"/>
        <v>1451071.33</v>
      </c>
      <c r="L24" s="15">
        <f t="shared" si="1"/>
        <v>0.68263118011726476</v>
      </c>
    </row>
    <row r="25" spans="1:16" ht="15.75" customHeight="1" x14ac:dyDescent="0.25">
      <c r="A25" s="17" t="s">
        <v>26</v>
      </c>
      <c r="B25" s="78">
        <v>1161847</v>
      </c>
      <c r="C25" s="51">
        <f>'[1]AI MENSUAL'!$F$77+'[1]AI MENSUAL'!$G$77+'[1]AI MENSUAL'!$H$77+'[1]AI MENSUAL'!$I$77+'[1]AI MENSUAL'!$J$77+'[1]AI MENSUAL'!$K$77+'[1]AI MENSUAL'!$L$77+'[1]AI MENSUAL'!$M$77+'[1]AI MENSUAL'!$N$77</f>
        <v>1419966.46</v>
      </c>
      <c r="D25" s="51">
        <f>'[1]AI MENSUAL'!$F$78+'[1]AI MENSUAL'!$G$78+'[1]AI MENSUAL'!$H$78+'[1]AI MENSUAL'!$I$78+'[1]AI MENSUAL'!$J$78+'[1]AI MENSUAL'!$K$78+'[1]AI MENSUAL'!$L$78+'[1]AI MENSUAL'!$M$78+'[1]AI MENSUAL'!$N$78</f>
        <v>25.99</v>
      </c>
      <c r="E25" s="14">
        <v>943874.14</v>
      </c>
      <c r="F25" s="15">
        <f t="shared" si="6"/>
        <v>0.66471579899147759</v>
      </c>
      <c r="G25" s="53">
        <f t="shared" si="7"/>
        <v>476092.31999999995</v>
      </c>
      <c r="H25" s="16">
        <f>410719.78+75290.74</f>
        <v>486010.52</v>
      </c>
      <c r="I25" s="16">
        <v>0</v>
      </c>
      <c r="J25" s="16">
        <f>[3]Hoja1!$B$6+[3]Hoja1!$C$6+[3]Hoja1!$D$6+[3]Hoja1!$E$6+[3]Hoja1!$F$6+[3]Hoja1!$G$6+[3]Hoja1!$H$6+[3]Hoja1!$I$6+[3]Hoja1!$J$6</f>
        <v>35833.700000000004</v>
      </c>
      <c r="K25" s="16">
        <f t="shared" si="3"/>
        <v>450176.82</v>
      </c>
      <c r="L25" s="15">
        <f t="shared" si="1"/>
        <v>0.81239108075331778</v>
      </c>
    </row>
    <row r="26" spans="1:16" ht="15.75" customHeight="1" x14ac:dyDescent="0.25">
      <c r="A26" s="17" t="s">
        <v>90</v>
      </c>
      <c r="B26" s="78">
        <v>12284567</v>
      </c>
      <c r="C26" s="51">
        <f>'[1]AI MENSUAL'!$F$48+'[1]AI MENSUAL'!$G$48+'[1]AI MENSUAL'!$H$48+'[1]AI MENSUAL'!$I$48+'[1]AI MENSUAL'!$J$48+'[1]AI MENSUAL'!$K$48+'[1]AI MENSUAL'!$L$48+'[1]AI MENSUAL'!$M$48+'[1]AI MENSUAL'!$N$48</f>
        <v>10416772.74</v>
      </c>
      <c r="D26" s="51">
        <f>'[1]AI MENSUAL'!$F$49+'[1]AI MENSUAL'!$G$49+'[1]AI MENSUAL'!$H$49+'[1]AI MENSUAL'!$I$49+'[1]AI MENSUAL'!$J$49+'[1]AI MENSUAL'!$K$49+'[1]AI MENSUAL'!$L$49+'[1]AI MENSUAL'!$M$49+'[1]AI MENSUAL'!$N$49</f>
        <v>168.69</v>
      </c>
      <c r="E26" s="14">
        <f>[4]FFM!$G$21+[5]FFM!$H$21+[5]FFM!$I$21+[5]FFM!$J$21+[5]FFM!$K$21+[5]FFM!$L$21+[5]FFM!$M$21+[5]FFM!$N$21+[5]FFM!$O$21</f>
        <v>8443420.4700000007</v>
      </c>
      <c r="F26" s="15">
        <f t="shared" si="6"/>
        <v>0.81056011115396576</v>
      </c>
      <c r="G26" s="53">
        <f t="shared" si="7"/>
        <v>1973352.2699999996</v>
      </c>
      <c r="H26" s="16">
        <f>1973537.64</f>
        <v>1973537.64</v>
      </c>
      <c r="I26" s="16">
        <v>0</v>
      </c>
      <c r="J26" s="16">
        <v>0</v>
      </c>
      <c r="K26" s="16">
        <f t="shared" si="3"/>
        <v>1973537.64</v>
      </c>
      <c r="L26" s="15">
        <f t="shared" si="1"/>
        <v>0.6873193389722243</v>
      </c>
    </row>
    <row r="27" spans="1:16" ht="15.75" customHeight="1" x14ac:dyDescent="0.25">
      <c r="A27" s="17" t="s">
        <v>91</v>
      </c>
      <c r="B27" s="78">
        <v>639170</v>
      </c>
      <c r="C27" s="51">
        <f>'[1]AI MENSUAL'!$F$62+'[1]AI MENSUAL'!$G$62+'[1]AI MENSUAL'!$H$62+'[1]AI MENSUAL'!$I$62+'[1]AI MENSUAL'!$J$62+'[1]AI MENSUAL'!$K$62+'[1]AI MENSUAL'!$L$62+'[1]AI MENSUAL'!$M$62+'[1]AI MENSUAL'!$M$66+'[1]AI MENSUAL'!$N$62</f>
        <v>619498.49</v>
      </c>
      <c r="D27" s="51">
        <f>'[1]AI MENSUAL'!$F$63+'[1]AI MENSUAL'!$G$63+'[1]AI MENSUAL'!$H$63+'[1]AI MENSUAL'!$I$63+'[1]AI MENSUAL'!$J$63+'[1]AI MENSUAL'!$K$63+'[1]AI MENSUAL'!$L$63+'[1]AI MENSUAL'!$M$63+'[1]AI MENSUAL'!$N$63</f>
        <v>0.79</v>
      </c>
      <c r="E27" s="14">
        <f>'[4]IEPS TAB'!$G$11+'[5]IEPS TAB'!$H$11+'[5]IEPS TAB'!$I$11+'[5]IEPS TAB'!$J$11+'[5]IEPS TAB'!$K$11+'[5]IEPS TAB'!$L$11+'[5]IEPS TAB'!$M$11+'[5]IEPS TAB'!$N$11+'[5]IEPS TAB'!$O$11</f>
        <v>540462.14</v>
      </c>
      <c r="F27" s="15">
        <f t="shared" si="6"/>
        <v>0.87241881735660087</v>
      </c>
      <c r="G27" s="53">
        <f t="shared" si="7"/>
        <v>79036.349999999977</v>
      </c>
      <c r="H27" s="16">
        <f>7426.13+71611.18</f>
        <v>79037.31</v>
      </c>
      <c r="I27" s="16">
        <v>0</v>
      </c>
      <c r="J27" s="16">
        <v>0</v>
      </c>
      <c r="K27" s="16">
        <f t="shared" si="3"/>
        <v>79037.31</v>
      </c>
      <c r="L27" s="15">
        <f t="shared" si="1"/>
        <v>0.84556869064568119</v>
      </c>
    </row>
    <row r="28" spans="1:16" ht="15.75" customHeight="1" x14ac:dyDescent="0.25">
      <c r="A28" s="17" t="s">
        <v>94</v>
      </c>
      <c r="B28" s="78">
        <v>1325120</v>
      </c>
      <c r="C28" s="51">
        <f>'[1]AI MENSUAL'!$F$58+'[1]AI MENSUAL'!$G$58+'[1]AI MENSUAL'!$H$58+'[1]AI MENSUAL'!$I$58+'[1]AI MENSUAL'!$J$58+'[1]AI MENSUAL'!$K$58+'[1]AI MENSUAL'!$L$58+'[1]AI MENSUAL'!$M$58+'[1]AI MENSUAL'!$N$58</f>
        <v>1034145.8099999999</v>
      </c>
      <c r="D28" s="51">
        <f>'[1]AI MENSUAL'!$F$59+'[1]AI MENSUAL'!$G$59+'[1]AI MENSUAL'!$H$59+'[1]AI MENSUAL'!$I$59+'[1]AI MENSUAL'!$J$59+'[1]AI MENSUAL'!$K$59+'[1]AI MENSUAL'!$L$59+'[1]AI MENSUAL'!$M$59+'[1]AI MENSUAL'!$N$59</f>
        <v>4.91</v>
      </c>
      <c r="E28" s="14">
        <f>'[4]IEPS GAS'!$G$11+'[5]IEPS GAS'!$H$11+'[5]IEPS GAS'!$I$11+'[5]IEPS GAS'!$J$11+'[5]IEPS GAS'!$K$11+'[5]IEPS GAS'!$L$11+'[5]IEPS GAS'!$M$11+'[5]IEPS GAS'!$N$11+'[5]IEPS GAS'!$O$11</f>
        <v>921110.02</v>
      </c>
      <c r="F28" s="15">
        <f t="shared" si="6"/>
        <v>0.89069646764801969</v>
      </c>
      <c r="G28" s="53">
        <f t="shared" si="7"/>
        <v>113035.78999999992</v>
      </c>
      <c r="H28" s="16">
        <f>1787.44+111253.78</f>
        <v>113041.22</v>
      </c>
      <c r="I28" s="16">
        <v>0</v>
      </c>
      <c r="J28" s="16">
        <v>0</v>
      </c>
      <c r="K28" s="16">
        <f t="shared" si="3"/>
        <v>113041.22</v>
      </c>
      <c r="L28" s="15">
        <f t="shared" si="1"/>
        <v>0.69511441982612898</v>
      </c>
    </row>
    <row r="29" spans="1:16" ht="15.75" customHeight="1" x14ac:dyDescent="0.25">
      <c r="A29" s="17" t="s">
        <v>92</v>
      </c>
      <c r="B29" s="78">
        <v>50110</v>
      </c>
      <c r="C29" s="51">
        <f>'[1]AI MENSUAL'!$F$70+'[1]AI MENSUAL'!$G$70+'[1]AI MENSUAL'!$H$70+'[1]AI MENSUAL'!$I$70+'[1]AI MENSUAL'!$J$70+'[1]AI MENSUAL'!$K$70+'[1]AI MENSUAL'!$L$70+'[1]AI MENSUAL'!$M$70+'[1]AI MENSUAL'!$N$70</f>
        <v>71602.200000000012</v>
      </c>
      <c r="D29" s="51">
        <f>'[1]AI MENSUAL'!$F$71+'[1]AI MENSUAL'!$G$71+'[1]AI MENSUAL'!$H$71+'[1]AI MENSUAL'!$I$71+'[1]AI MENSUAL'!$J$71+'[1]AI MENSUAL'!$K$71+'[1]AI MENSUAL'!$L$71+'[1]AI MENSUAL'!$M$71+'[1]AI MENSUAL'!$N$71</f>
        <v>0.38999999999999996</v>
      </c>
      <c r="E29" s="14">
        <f>[4]CISAN!$G$11+[5]CISAN!$H$11+[5]CISAN!$I$11+[5]CISAN!$J$11+[5]CISAN!$K$11+[5]CISAN!$L$11+[5]CISAN!$M$11+[5]CISAN!$O$11</f>
        <v>45482.27</v>
      </c>
      <c r="F29" s="15">
        <f t="shared" si="6"/>
        <v>0.63520771708131862</v>
      </c>
      <c r="G29" s="53">
        <f t="shared" si="7"/>
        <v>26119.930000000015</v>
      </c>
      <c r="H29" s="16">
        <f>18164.54+7955.8</f>
        <v>26120.34</v>
      </c>
      <c r="I29" s="16">
        <v>0</v>
      </c>
      <c r="J29" s="16">
        <v>0</v>
      </c>
      <c r="K29" s="16">
        <f t="shared" si="3"/>
        <v>26120.34</v>
      </c>
      <c r="L29" s="15">
        <f t="shared" si="1"/>
        <v>0.90764857313909397</v>
      </c>
    </row>
    <row r="30" spans="1:16" ht="15.75" customHeight="1" x14ac:dyDescent="0.25">
      <c r="A30" s="17" t="s">
        <v>93</v>
      </c>
      <c r="B30" s="78">
        <v>227299</v>
      </c>
      <c r="C30" s="51">
        <f>'[1]AI MENSUAL'!$F$67+'[1]AI MENSUAL'!$G$67+'[1]AI MENSUAL'!$H$67+'[1]AI MENSUAL'!$I$67+'[1]AI MENSUAL'!$J$67+'[1]AI MENSUAL'!$K$67+'[1]AI MENSUAL'!$L$67+'[1]AI MENSUAL'!$M$67+'[1]AI MENSUAL'!$N$67</f>
        <v>486153.79</v>
      </c>
      <c r="D30" s="51">
        <f>'[1]AI MENSUAL'!$F$68+'[1]AI MENSUAL'!$G$68+'[1]AI MENSUAL'!$H$68+'[1]AI MENSUAL'!$I$68+'[1]AI MENSUAL'!$J$68+'[1]AI MENSUAL'!$K$68+'[1]AI MENSUAL'!$L$68+'[1]AI MENSUAL'!$M$68+'[1]AI MENSUAL'!$N$68</f>
        <v>1.5599999999999998</v>
      </c>
      <c r="E30" s="14">
        <f>[4]ISAN!$G$11+[5]ISAN!$H$11+[5]ISAN!$I$11+[5]ISAN!$J$11+[5]ISAN!$K$11+[5]ISAN!$L$11+[5]ISAN!$M$11+[5]CISAN!$N$11+[5]ISAN!$N$11+[5]ISAN!$O$11</f>
        <v>347991.49</v>
      </c>
      <c r="F30" s="15">
        <f>E30/C30</f>
        <v>0.71580536274334094</v>
      </c>
      <c r="G30" s="53">
        <f>C30-E30</f>
        <v>138162.29999999999</v>
      </c>
      <c r="H30" s="16">
        <f>89351.41+48813.21</f>
        <v>138164.62</v>
      </c>
      <c r="I30" s="16">
        <v>0</v>
      </c>
      <c r="J30" s="16">
        <v>0</v>
      </c>
      <c r="K30" s="16">
        <f t="shared" si="3"/>
        <v>138164.62</v>
      </c>
      <c r="L30" s="15">
        <f>E30/B30</f>
        <v>1.5309855740676377</v>
      </c>
    </row>
    <row r="31" spans="1:16" ht="15.75" customHeight="1" x14ac:dyDescent="0.25">
      <c r="A31" s="17" t="s">
        <v>95</v>
      </c>
      <c r="B31" s="78">
        <v>0</v>
      </c>
      <c r="C31" s="51">
        <f>'[1]AI MENSUAL'!$F$95+'[1]AI MENSUAL'!$G$95+'[1]AI MENSUAL'!$H$95+'[1]AI MENSUAL'!$I$95+'[1]AI MENSUAL'!$J$95+'[1]AI MENSUAL'!$K$95+'[1]AI MENSUAL'!$L$95+'[1]AI MENSUAL'!$M$95+'[1]AI MENSUAL'!$N$95</f>
        <v>40611</v>
      </c>
      <c r="D31" s="51">
        <f>'[1]AI MENSUAL'!$F$96+'[1]AI MENSUAL'!$G$96+'[1]AI MENSUAL'!$H$96+'[1]AI MENSUAL'!$I$96+'[1]AI MENSUAL'!$J$96+'[1]AI MENSUAL'!$K$96+'[1]AI MENSUAL'!$L$96+'[1]AI MENSUAL'!$M$96+'[1]AI MENSUAL'!$N$96</f>
        <v>0.36</v>
      </c>
      <c r="E31" s="14">
        <f>[4]PRODDER!$T$12+[5]PRODDER!$U$12+[5]PRODDER!$V$12+[5]PRODDER!$W$12+[5]PRODDER!$X$12+[5]PRODDER!$Y$12+[5]PRODDER!$M$12+[5]PRODDER!$N$12+[5]PRODDER!$O$12</f>
        <v>81222.64</v>
      </c>
      <c r="F31" s="15">
        <v>0</v>
      </c>
      <c r="G31" s="53">
        <f t="shared" si="7"/>
        <v>-40611.64</v>
      </c>
      <c r="H31" s="16">
        <f>0.36</f>
        <v>0.36</v>
      </c>
      <c r="I31" s="16">
        <v>0</v>
      </c>
      <c r="J31" s="16">
        <v>0</v>
      </c>
      <c r="K31" s="16">
        <f>+H31+I31-J32</f>
        <v>-20550.62</v>
      </c>
      <c r="L31" s="15">
        <v>0</v>
      </c>
      <c r="O31" s="56">
        <f>D21+D33</f>
        <v>2677.6600000000003</v>
      </c>
      <c r="P31" s="56">
        <f>D14+O31</f>
        <v>9053.92</v>
      </c>
    </row>
    <row r="32" spans="1:16" ht="15.75" customHeight="1" x14ac:dyDescent="0.25">
      <c r="A32" s="17" t="s">
        <v>27</v>
      </c>
      <c r="B32" s="78">
        <v>0</v>
      </c>
      <c r="C32" s="51">
        <f>'[1]AI MENSUAL'!$F$89+'[1]AI MENSUAL'!$G$89+'[1]AI MENSUAL'!$H$89+'[1]AI MENSUAL'!$I$89+'[1]AI MENSUAL'!$J$89+'[1]AI MENSUAL'!$K$89+'[1]AI MENSUAL'!$L$89+'[1]AI MENSUAL'!$M$89+'[1]AI MENSUAL'!$N$89</f>
        <v>4969470</v>
      </c>
      <c r="D32" s="51">
        <f>'[1]AI MENSUAL'!$F$90+'[1]AI MENSUAL'!$G$90+'[1]AI MENSUAL'!$H$90+'[1]AI MENSUAL'!$I$90+'[1]AI MENSUAL'!$J$90+'[1]AI MENSUAL'!$K$90+'[1]AI MENSUAL'!$L$90+'[1]AI MENSUAL'!$M$90+'[1]AI MENSUAL'!$N$90</f>
        <v>111.86</v>
      </c>
      <c r="E32" s="14">
        <f>[4]ISR!$T$47+[5]ISR!$H$47+[5]ISR!$I$47+[5]ISR!$J$47+[5]ISR!$K$47+[5]ISR!$L$47+[5]ISR!$M$47+[5]ISR!$N$47+[5]ISR!$O$47</f>
        <v>4456177.0200000005</v>
      </c>
      <c r="F32" s="15">
        <f>E32/C32</f>
        <v>0.89671071965420868</v>
      </c>
      <c r="G32" s="53">
        <f>C32-E32</f>
        <v>513292.97999999952</v>
      </c>
      <c r="H32" s="16">
        <f>25817.27+487591</f>
        <v>513408.27</v>
      </c>
      <c r="I32" s="16">
        <v>0</v>
      </c>
      <c r="J32" s="16">
        <v>20550.98</v>
      </c>
      <c r="K32" s="16">
        <f>+H32+I32-J33</f>
        <v>513408.27</v>
      </c>
      <c r="L32" s="15">
        <v>0</v>
      </c>
    </row>
    <row r="33" spans="1:12" ht="15.75" customHeight="1" x14ac:dyDescent="0.25">
      <c r="A33" s="13" t="s">
        <v>97</v>
      </c>
      <c r="B33" s="55">
        <f>SUM(B35:B45)</f>
        <v>0</v>
      </c>
      <c r="C33" s="52">
        <f>SUM(C34:C46)</f>
        <v>0</v>
      </c>
      <c r="D33" s="55">
        <f>SUM(D34:D46)</f>
        <v>591.92000000000007</v>
      </c>
      <c r="E33" s="19">
        <f>SUM(E34:E46)</f>
        <v>0</v>
      </c>
      <c r="F33" s="50">
        <v>0</v>
      </c>
      <c r="G33" s="54">
        <f>C33-E33</f>
        <v>0</v>
      </c>
      <c r="H33" s="19">
        <f>SUM(H34:H46)</f>
        <v>62129.65</v>
      </c>
      <c r="I33" s="19">
        <f>SUM(I34:I46)</f>
        <v>0</v>
      </c>
      <c r="J33" s="19">
        <f>SUM(J34:J46)</f>
        <v>0</v>
      </c>
      <c r="K33" s="19">
        <f>SUM(K34:K46)</f>
        <v>62129.65</v>
      </c>
      <c r="L33" s="50">
        <v>0</v>
      </c>
    </row>
    <row r="34" spans="1:12" ht="15.75" customHeight="1" x14ac:dyDescent="0.25">
      <c r="A34" s="17" t="s">
        <v>99</v>
      </c>
      <c r="B34" s="78">
        <v>0</v>
      </c>
      <c r="C34" s="51">
        <v>0</v>
      </c>
      <c r="D34" s="51">
        <v>0</v>
      </c>
      <c r="E34" s="51">
        <v>0</v>
      </c>
      <c r="F34" s="15">
        <v>0</v>
      </c>
      <c r="G34" s="53">
        <f>C34-E34</f>
        <v>0</v>
      </c>
      <c r="H34" s="16">
        <v>61976.03</v>
      </c>
      <c r="I34" s="16">
        <v>0</v>
      </c>
      <c r="J34" s="16">
        <v>0</v>
      </c>
      <c r="K34" s="16">
        <f>+H34+I34-J34</f>
        <v>61976.03</v>
      </c>
      <c r="L34" s="15">
        <v>0</v>
      </c>
    </row>
    <row r="35" spans="1:12" ht="15.75" customHeight="1" x14ac:dyDescent="0.25">
      <c r="A35" s="17" t="s">
        <v>23</v>
      </c>
      <c r="B35" s="78">
        <v>0</v>
      </c>
      <c r="C35" s="51">
        <v>0</v>
      </c>
      <c r="D35" s="51">
        <f>'[1]AI MENSUAL'!$F$54+'[1]AI MENSUAL'!$G$54+'[1]AI MENSUAL'!$H$54+'[1]AI MENSUAL'!$I$54+'[1]AI MENSUAL'!$J$54+'[1]AI MENSUAL'!$K$54+'[1]AI MENSUAL'!$L$54+'[1]AI MENSUAL'!$M$54+'[1]AI MENSUAL'!$N$60+'[1]AI MENSUAL'!$N$54</f>
        <v>120.86000000000003</v>
      </c>
      <c r="E35" s="14">
        <v>0</v>
      </c>
      <c r="F35" s="15">
        <v>0</v>
      </c>
      <c r="G35" s="53">
        <f>C35-E35</f>
        <v>0</v>
      </c>
      <c r="H35" s="16">
        <v>153.62</v>
      </c>
      <c r="I35" s="16">
        <v>0</v>
      </c>
      <c r="J35" s="16">
        <v>0</v>
      </c>
      <c r="K35" s="16">
        <f>+H35+I35-J35</f>
        <v>153.62</v>
      </c>
      <c r="L35" s="15">
        <v>0</v>
      </c>
    </row>
    <row r="36" spans="1:12" ht="15.75" customHeight="1" x14ac:dyDescent="0.25">
      <c r="A36" s="17" t="s">
        <v>24</v>
      </c>
      <c r="B36" s="78">
        <v>0</v>
      </c>
      <c r="C36" s="51">
        <v>0</v>
      </c>
      <c r="D36" s="51">
        <f>'[1]AI MENSUAL'!$F$103+'[1]AI MENSUAL'!$G$103+'[1]AI MENSUAL'!$H$103+'[1]AI MENSUAL'!$I$103+'[1]AI MENSUAL'!$J$103+'[1]AI MENSUAL'!$L$103+'[1]AI MENSUAL'!$M$103+'[1]AI MENSUAL'!$N$103</f>
        <v>402.27000000000004</v>
      </c>
      <c r="E36" s="14">
        <v>0</v>
      </c>
      <c r="F36" s="15">
        <v>0</v>
      </c>
      <c r="G36" s="53">
        <f t="shared" ref="G36:G59" si="8">C36-E36</f>
        <v>0</v>
      </c>
      <c r="H36" s="16">
        <v>0</v>
      </c>
      <c r="I36" s="16">
        <v>0</v>
      </c>
      <c r="J36" s="16">
        <v>0</v>
      </c>
      <c r="K36" s="16">
        <f t="shared" ref="K36:K44" si="9">+H36+I36-J36</f>
        <v>0</v>
      </c>
      <c r="L36" s="15">
        <v>0</v>
      </c>
    </row>
    <row r="37" spans="1:12" ht="15.75" customHeight="1" x14ac:dyDescent="0.25">
      <c r="A37" s="17" t="s">
        <v>25</v>
      </c>
      <c r="B37" s="78">
        <v>0</v>
      </c>
      <c r="C37" s="51">
        <v>0</v>
      </c>
      <c r="D37" s="51">
        <f>'[1]AI MENSUAL'!$F$106+'[1]AI MENSUAL'!$G$106+'[1]AI MENSUAL'!$H$106+'[1]AI MENSUAL'!$I$106+'[1]AI MENSUAL'!$J$106+'[1]AI MENSUAL'!$K$106+'[1]AI MENSUAL'!$L$106+'[1]AI MENSUAL'!$M$106+'[1]AI MENSUAL'!$N$106</f>
        <v>40.109999999999992</v>
      </c>
      <c r="E37" s="14">
        <v>0</v>
      </c>
      <c r="F37" s="15">
        <v>0</v>
      </c>
      <c r="G37" s="53">
        <f t="shared" si="8"/>
        <v>0</v>
      </c>
      <c r="H37" s="16">
        <v>0</v>
      </c>
      <c r="I37" s="16">
        <v>0</v>
      </c>
      <c r="J37" s="16">
        <v>0</v>
      </c>
      <c r="K37" s="16">
        <f t="shared" si="9"/>
        <v>0</v>
      </c>
      <c r="L37" s="15">
        <v>0</v>
      </c>
    </row>
    <row r="38" spans="1:12" ht="15.75" customHeight="1" x14ac:dyDescent="0.25">
      <c r="A38" s="17" t="s">
        <v>26</v>
      </c>
      <c r="B38" s="78">
        <v>0</v>
      </c>
      <c r="C38" s="51">
        <v>0</v>
      </c>
      <c r="D38" s="51">
        <f>'[1]AI MENSUAL'!$F$79+'[1]AI MENSUAL'!$G$79+'[1]AI MENSUAL'!$H$79+'[1]AI MENSUAL'!$I$79+'[1]AI MENSUAL'!$J$79+'[1]AI MENSUAL'!$K$79+'[1]AI MENSUAL'!$L$79+'[1]AI MENSUAL'!$M$79</f>
        <v>6.5200000000000005</v>
      </c>
      <c r="E38" s="14">
        <v>0</v>
      </c>
      <c r="F38" s="15">
        <v>0</v>
      </c>
      <c r="G38" s="53">
        <f t="shared" si="8"/>
        <v>0</v>
      </c>
      <c r="H38" s="16">
        <v>0</v>
      </c>
      <c r="I38" s="16">
        <v>0</v>
      </c>
      <c r="J38" s="16">
        <v>0</v>
      </c>
      <c r="K38" s="16">
        <f t="shared" si="9"/>
        <v>0</v>
      </c>
      <c r="L38" s="15">
        <v>0</v>
      </c>
    </row>
    <row r="39" spans="1:12" ht="15.75" customHeight="1" x14ac:dyDescent="0.25">
      <c r="A39" s="17" t="s">
        <v>90</v>
      </c>
      <c r="B39" s="78">
        <v>0</v>
      </c>
      <c r="C39" s="51">
        <v>0</v>
      </c>
      <c r="D39" s="51">
        <f>'[1]AI MENSUAL'!$F$50+'[1]AI MENSUAL'!$G$50+'[1]AI MENSUAL'!$H$50+'[1]AI MENSUAL'!$I$50+'[1]AI MENSUAL'!$J$50+'[1]AI MENSUAL'!$K$50+'[1]AI MENSUAL'!$M$50+'[1]AI MENSUAL'!$N$50</f>
        <v>16.68</v>
      </c>
      <c r="E39" s="14">
        <v>0</v>
      </c>
      <c r="F39" s="15">
        <v>0</v>
      </c>
      <c r="G39" s="53">
        <f t="shared" si="8"/>
        <v>0</v>
      </c>
      <c r="H39" s="16">
        <v>0</v>
      </c>
      <c r="I39" s="16">
        <v>0</v>
      </c>
      <c r="J39" s="16">
        <v>0</v>
      </c>
      <c r="K39" s="16">
        <f t="shared" si="9"/>
        <v>0</v>
      </c>
      <c r="L39" s="15">
        <v>0</v>
      </c>
    </row>
    <row r="40" spans="1:12" ht="15.75" customHeight="1" x14ac:dyDescent="0.25">
      <c r="A40" s="17" t="s">
        <v>91</v>
      </c>
      <c r="B40" s="78">
        <v>0</v>
      </c>
      <c r="C40" s="51">
        <v>0</v>
      </c>
      <c r="D40" s="51">
        <f>'[1]AI MENSUAL'!$F$64+'[1]AI MENSUAL'!$G$64+'[1]AI MENSUAL'!$H$64+'[1]AI MENSUAL'!$I$64+'[1]AI MENSUAL'!$J$64+'[1]AI MENSUAL'!$K$64+'[1]AI MENSUAL'!$L$64+'[1]AI MENSUAL'!$M$64+'[1]AI MENSUAL'!$N$64</f>
        <v>0.2</v>
      </c>
      <c r="E40" s="14">
        <v>0</v>
      </c>
      <c r="F40" s="15">
        <v>0</v>
      </c>
      <c r="G40" s="53">
        <f t="shared" si="8"/>
        <v>0</v>
      </c>
      <c r="H40" s="16">
        <v>0</v>
      </c>
      <c r="I40" s="16">
        <v>0</v>
      </c>
      <c r="J40" s="16">
        <v>0</v>
      </c>
      <c r="K40" s="16">
        <f t="shared" si="9"/>
        <v>0</v>
      </c>
      <c r="L40" s="15">
        <v>0</v>
      </c>
    </row>
    <row r="41" spans="1:12" ht="15.75" customHeight="1" x14ac:dyDescent="0.25">
      <c r="A41" s="17" t="s">
        <v>94</v>
      </c>
      <c r="B41" s="78">
        <v>0</v>
      </c>
      <c r="C41" s="51">
        <v>0</v>
      </c>
      <c r="D41" s="51">
        <f>'[1]AI MENSUAL'!$F$60+'[1]AI MENSUAL'!$G$60+'[1]AI MENSUAL'!$H$60+'[1]AI MENSUAL'!$I$60+'[1]AI MENSUAL'!$J$60+'[1]AI MENSUAL'!$K$60+'[1]AI MENSUAL'!$L$60+'[1]AI MENSUAL'!$M$60+'[1]AI MENSUAL'!$N$60</f>
        <v>0.49</v>
      </c>
      <c r="E41" s="14">
        <v>0</v>
      </c>
      <c r="F41" s="15">
        <v>0</v>
      </c>
      <c r="G41" s="53">
        <f t="shared" si="8"/>
        <v>0</v>
      </c>
      <c r="H41" s="16">
        <v>0</v>
      </c>
      <c r="I41" s="16">
        <v>0</v>
      </c>
      <c r="J41" s="16">
        <v>0</v>
      </c>
      <c r="K41" s="16">
        <f t="shared" si="9"/>
        <v>0</v>
      </c>
      <c r="L41" s="15">
        <v>0</v>
      </c>
    </row>
    <row r="42" spans="1:12" ht="15.75" customHeight="1" x14ac:dyDescent="0.25">
      <c r="A42" s="17" t="s">
        <v>92</v>
      </c>
      <c r="B42" s="78">
        <v>0</v>
      </c>
      <c r="C42" s="51">
        <v>0</v>
      </c>
      <c r="D42" s="51">
        <f>'[1]AI MENSUAL'!$F$72+'[1]AI MENSUAL'!$G$72+'[1]AI MENSUAL'!$H$72+'[1]AI MENSUAL'!$I$72+'[1]AI MENSUAL'!$J$72+'[1]AI MENSUAL'!$K$72+'[1]AI MENSUAL'!$L$72+'[1]AI MENSUAL'!$M$72+'[1]AI MENSUAL'!$N$72</f>
        <v>0.02</v>
      </c>
      <c r="E42" s="14">
        <v>0</v>
      </c>
      <c r="F42" s="15">
        <v>0</v>
      </c>
      <c r="G42" s="53">
        <f t="shared" si="8"/>
        <v>0</v>
      </c>
      <c r="H42" s="16">
        <v>0</v>
      </c>
      <c r="I42" s="16">
        <v>0</v>
      </c>
      <c r="J42" s="16">
        <v>0</v>
      </c>
      <c r="K42" s="16">
        <f t="shared" si="9"/>
        <v>0</v>
      </c>
      <c r="L42" s="15">
        <v>0</v>
      </c>
    </row>
    <row r="43" spans="1:12" ht="15.75" customHeight="1" x14ac:dyDescent="0.25">
      <c r="A43" s="17" t="s">
        <v>93</v>
      </c>
      <c r="B43" s="78">
        <v>0</v>
      </c>
      <c r="C43" s="51">
        <v>0</v>
      </c>
      <c r="D43" s="51">
        <f>'[1]AI MENSUAL'!$F$69+'[1]AI MENSUAL'!$G$69+'[1]AI MENSUAL'!$H$69+'[1]AI MENSUAL'!$I$69+'[1]AI MENSUAL'!$J$69+'[1]AI MENSUAL'!$K$69+'[1]AI MENSUAL'!$L$69+'[1]AI MENSUAL'!$M$69+'[1]AI MENSUAL'!$N$69</f>
        <v>0.76</v>
      </c>
      <c r="E43" s="14">
        <v>0</v>
      </c>
      <c r="F43" s="15">
        <v>0</v>
      </c>
      <c r="G43" s="53">
        <f t="shared" si="8"/>
        <v>0</v>
      </c>
      <c r="H43" s="16">
        <v>0</v>
      </c>
      <c r="I43" s="16">
        <v>0</v>
      </c>
      <c r="J43" s="16">
        <v>0</v>
      </c>
      <c r="K43" s="16">
        <f t="shared" si="9"/>
        <v>0</v>
      </c>
      <c r="L43" s="15">
        <v>0</v>
      </c>
    </row>
    <row r="44" spans="1:12" ht="15.75" customHeight="1" x14ac:dyDescent="0.25">
      <c r="A44" s="17" t="s">
        <v>95</v>
      </c>
      <c r="B44" s="78">
        <v>0</v>
      </c>
      <c r="C44" s="51">
        <v>0</v>
      </c>
      <c r="D44" s="51">
        <f>'[1]AI MENSUAL'!$F$97+'[1]AI MENSUAL'!$G$97+'[1]AI MENSUAL'!$H$97+'[1]AI MENSUAL'!$I$97+'[1]AI MENSUAL'!$J$97+'[1]AI MENSUAL'!$K$97+'[1]AI MENSUAL'!$L$97+'[1]AI MENSUAL'!$M$97+'[1]AI MENSUAL'!$N$97</f>
        <v>0.58000000000000007</v>
      </c>
      <c r="E44" s="14">
        <v>0</v>
      </c>
      <c r="F44" s="15">
        <v>0</v>
      </c>
      <c r="G44" s="53">
        <f t="shared" si="8"/>
        <v>0</v>
      </c>
      <c r="H44" s="16">
        <v>0</v>
      </c>
      <c r="I44" s="16">
        <v>0</v>
      </c>
      <c r="J44" s="16">
        <v>0</v>
      </c>
      <c r="K44" s="16">
        <f t="shared" si="9"/>
        <v>0</v>
      </c>
      <c r="L44" s="15">
        <v>0</v>
      </c>
    </row>
    <row r="45" spans="1:12" ht="15.75" customHeight="1" x14ac:dyDescent="0.25">
      <c r="A45" s="17" t="s">
        <v>27</v>
      </c>
      <c r="B45" s="78">
        <v>0</v>
      </c>
      <c r="C45" s="51">
        <v>0</v>
      </c>
      <c r="D45" s="51">
        <f>'[1]AI MENSUAL'!$F$91+'[1]AI MENSUAL'!$G$91+'[1]AI MENSUAL'!$H$91+'[1]AI MENSUAL'!$I$91+'[1]AI MENSUAL'!$J$91+'[1]AI MENSUAL'!$K$91+'[1]AI MENSUAL'!$L$91+'[1]AI MENSUAL'!$M$91+'[1]AI MENSUAL'!$N$91</f>
        <v>3.4299999999999997</v>
      </c>
      <c r="E45" s="14">
        <v>0</v>
      </c>
      <c r="F45" s="15">
        <v>0</v>
      </c>
      <c r="G45" s="53">
        <f t="shared" si="8"/>
        <v>0</v>
      </c>
      <c r="H45" s="16">
        <v>0</v>
      </c>
      <c r="I45" s="16">
        <v>0</v>
      </c>
      <c r="J45" s="16">
        <v>0</v>
      </c>
      <c r="K45" s="16">
        <f>+H45+I45-J45</f>
        <v>0</v>
      </c>
      <c r="L45" s="15">
        <v>0</v>
      </c>
    </row>
    <row r="46" spans="1:12" ht="15.75" customHeight="1" x14ac:dyDescent="0.25">
      <c r="A46" s="17" t="s">
        <v>115</v>
      </c>
      <c r="B46" s="78">
        <v>0</v>
      </c>
      <c r="C46" s="51">
        <v>0</v>
      </c>
      <c r="D46" s="51">
        <v>0</v>
      </c>
      <c r="E46" s="14">
        <v>0</v>
      </c>
      <c r="F46" s="15">
        <v>0</v>
      </c>
      <c r="G46" s="53">
        <f t="shared" si="8"/>
        <v>0</v>
      </c>
      <c r="H46" s="16">
        <v>0</v>
      </c>
      <c r="I46" s="16">
        <v>0</v>
      </c>
      <c r="J46" s="16">
        <v>0</v>
      </c>
      <c r="K46" s="16">
        <f>+H46+I46-J46</f>
        <v>0</v>
      </c>
      <c r="L46" s="15">
        <v>0</v>
      </c>
    </row>
    <row r="47" spans="1:12" ht="15.75" customHeight="1" x14ac:dyDescent="0.25">
      <c r="A47" s="13" t="s">
        <v>98</v>
      </c>
      <c r="B47" s="55">
        <f>SUM(B48:B52)</f>
        <v>0</v>
      </c>
      <c r="C47" s="52">
        <f>SUM(C48:C52)</f>
        <v>0</v>
      </c>
      <c r="D47" s="52">
        <f>SUM(D48:D52)</f>
        <v>0</v>
      </c>
      <c r="E47" s="19">
        <f>SUM(E48:E52)</f>
        <v>0</v>
      </c>
      <c r="F47" s="50">
        <v>0</v>
      </c>
      <c r="G47" s="54">
        <f t="shared" si="8"/>
        <v>0</v>
      </c>
      <c r="H47" s="19">
        <f>SUM(H48:H52)</f>
        <v>0</v>
      </c>
      <c r="I47" s="19">
        <f t="shared" ref="I47:J47" si="10">SUM(I48:I52)</f>
        <v>0</v>
      </c>
      <c r="J47" s="19">
        <f t="shared" si="10"/>
        <v>0</v>
      </c>
      <c r="K47" s="19">
        <f>SUM(K48:K52)</f>
        <v>0</v>
      </c>
      <c r="L47" s="50">
        <v>0</v>
      </c>
    </row>
    <row r="48" spans="1:12" ht="15.75" customHeight="1" x14ac:dyDescent="0.25">
      <c r="A48" s="17" t="s">
        <v>99</v>
      </c>
      <c r="B48" s="78">
        <v>0</v>
      </c>
      <c r="C48" s="51">
        <v>0</v>
      </c>
      <c r="D48" s="51">
        <v>0</v>
      </c>
      <c r="E48" s="14">
        <v>0</v>
      </c>
      <c r="F48" s="15">
        <v>0</v>
      </c>
      <c r="G48" s="53">
        <f t="shared" si="8"/>
        <v>0</v>
      </c>
      <c r="H48" s="16">
        <v>0</v>
      </c>
      <c r="I48" s="16">
        <v>0</v>
      </c>
      <c r="J48" s="16">
        <v>0</v>
      </c>
      <c r="K48" s="16">
        <f t="shared" ref="K48:K50" si="11">+H48+I48-J48</f>
        <v>0</v>
      </c>
      <c r="L48" s="15">
        <v>0</v>
      </c>
    </row>
    <row r="49" spans="1:15" ht="15.75" customHeight="1" x14ac:dyDescent="0.25">
      <c r="A49" s="17" t="s">
        <v>23</v>
      </c>
      <c r="B49" s="78">
        <v>0</v>
      </c>
      <c r="C49" s="51">
        <v>0</v>
      </c>
      <c r="D49" s="51">
        <v>0</v>
      </c>
      <c r="E49" s="14">
        <v>0</v>
      </c>
      <c r="F49" s="15">
        <v>0</v>
      </c>
      <c r="G49" s="53">
        <f t="shared" si="8"/>
        <v>0</v>
      </c>
      <c r="H49" s="16">
        <v>0</v>
      </c>
      <c r="I49" s="16">
        <v>0</v>
      </c>
      <c r="J49" s="16">
        <v>0</v>
      </c>
      <c r="K49" s="16">
        <f t="shared" si="11"/>
        <v>0</v>
      </c>
      <c r="L49" s="15">
        <v>0</v>
      </c>
    </row>
    <row r="50" spans="1:15" ht="15.75" customHeight="1" x14ac:dyDescent="0.25">
      <c r="A50" s="17" t="s">
        <v>25</v>
      </c>
      <c r="B50" s="78">
        <v>0</v>
      </c>
      <c r="C50" s="51">
        <v>0</v>
      </c>
      <c r="D50" s="51">
        <v>0</v>
      </c>
      <c r="E50" s="14">
        <v>0</v>
      </c>
      <c r="F50" s="15">
        <v>0</v>
      </c>
      <c r="G50" s="53">
        <f t="shared" si="8"/>
        <v>0</v>
      </c>
      <c r="H50" s="16">
        <v>0</v>
      </c>
      <c r="I50" s="16">
        <v>0</v>
      </c>
      <c r="J50" s="16">
        <v>0</v>
      </c>
      <c r="K50" s="16">
        <f t="shared" si="11"/>
        <v>0</v>
      </c>
      <c r="L50" s="15">
        <v>0</v>
      </c>
    </row>
    <row r="51" spans="1:15" ht="15.75" customHeight="1" x14ac:dyDescent="0.25">
      <c r="A51" s="17" t="s">
        <v>90</v>
      </c>
      <c r="B51" s="78">
        <v>0</v>
      </c>
      <c r="C51" s="51">
        <v>0</v>
      </c>
      <c r="D51" s="51">
        <v>0</v>
      </c>
      <c r="E51" s="14">
        <v>0</v>
      </c>
      <c r="F51" s="15">
        <v>0</v>
      </c>
      <c r="G51" s="53">
        <f>C51-E51</f>
        <v>0</v>
      </c>
      <c r="H51" s="16">
        <v>0</v>
      </c>
      <c r="I51" s="16">
        <v>0</v>
      </c>
      <c r="J51" s="16">
        <v>0</v>
      </c>
      <c r="K51" s="16">
        <f>+H51+I51-J51</f>
        <v>0</v>
      </c>
      <c r="L51" s="15">
        <v>0</v>
      </c>
    </row>
    <row r="52" spans="1:15" ht="15.75" customHeight="1" x14ac:dyDescent="0.25">
      <c r="A52" s="17" t="s">
        <v>102</v>
      </c>
      <c r="B52" s="78">
        <v>0</v>
      </c>
      <c r="C52" s="51">
        <v>0</v>
      </c>
      <c r="D52" s="51">
        <v>0</v>
      </c>
      <c r="E52" s="14">
        <v>0</v>
      </c>
      <c r="F52" s="15">
        <v>0</v>
      </c>
      <c r="G52" s="53">
        <f>C52-E52</f>
        <v>0</v>
      </c>
      <c r="H52" s="53">
        <v>0</v>
      </c>
      <c r="I52" s="16">
        <v>0</v>
      </c>
      <c r="J52" s="16">
        <v>0</v>
      </c>
      <c r="K52" s="16">
        <f>+H52+I52-J52</f>
        <v>0</v>
      </c>
      <c r="L52" s="15">
        <v>0</v>
      </c>
    </row>
    <row r="53" spans="1:15" ht="15.75" customHeight="1" x14ac:dyDescent="0.25">
      <c r="A53" s="13" t="s">
        <v>100</v>
      </c>
      <c r="B53" s="55">
        <f>SUM(B54:B55)</f>
        <v>0</v>
      </c>
      <c r="C53" s="52">
        <f>SUM(C54:C55)</f>
        <v>0</v>
      </c>
      <c r="D53" s="52">
        <f>SUM(D54:D55)</f>
        <v>0</v>
      </c>
      <c r="E53" s="19">
        <f>SUM(E54:E55)</f>
        <v>0</v>
      </c>
      <c r="F53" s="50">
        <v>0</v>
      </c>
      <c r="G53" s="54">
        <f t="shared" si="8"/>
        <v>0</v>
      </c>
      <c r="H53" s="19">
        <f>SUM(H54:H55)</f>
        <v>35.85</v>
      </c>
      <c r="I53" s="19">
        <f t="shared" ref="I53:K53" si="12">SUM(I54:I55)</f>
        <v>0</v>
      </c>
      <c r="J53" s="19">
        <f t="shared" si="12"/>
        <v>0</v>
      </c>
      <c r="K53" s="19">
        <f t="shared" si="12"/>
        <v>35.85</v>
      </c>
      <c r="L53" s="50">
        <v>0</v>
      </c>
    </row>
    <row r="54" spans="1:15" ht="15.75" customHeight="1" x14ac:dyDescent="0.25">
      <c r="A54" s="17" t="s">
        <v>99</v>
      </c>
      <c r="B54" s="78">
        <v>0</v>
      </c>
      <c r="C54" s="51">
        <v>0</v>
      </c>
      <c r="D54" s="51">
        <v>0</v>
      </c>
      <c r="E54" s="14">
        <v>0</v>
      </c>
      <c r="F54" s="15">
        <v>0</v>
      </c>
      <c r="G54" s="53">
        <f t="shared" si="8"/>
        <v>0</v>
      </c>
      <c r="H54" s="16">
        <v>35.85</v>
      </c>
      <c r="I54" s="16">
        <v>0</v>
      </c>
      <c r="J54" s="16">
        <v>0</v>
      </c>
      <c r="K54" s="16">
        <f t="shared" ref="K54:K55" si="13">+H54+I54-J54</f>
        <v>35.85</v>
      </c>
      <c r="L54" s="15">
        <v>0</v>
      </c>
    </row>
    <row r="55" spans="1:15" ht="15.75" customHeight="1" x14ac:dyDescent="0.25">
      <c r="A55" s="17" t="s">
        <v>23</v>
      </c>
      <c r="B55" s="78">
        <v>0</v>
      </c>
      <c r="C55" s="51">
        <v>0</v>
      </c>
      <c r="D55" s="51">
        <v>0</v>
      </c>
      <c r="E55" s="14">
        <v>0</v>
      </c>
      <c r="F55" s="15">
        <v>0</v>
      </c>
      <c r="G55" s="53">
        <f t="shared" si="8"/>
        <v>0</v>
      </c>
      <c r="H55" s="16">
        <v>0</v>
      </c>
      <c r="I55" s="16">
        <v>0</v>
      </c>
      <c r="J55" s="16">
        <v>0</v>
      </c>
      <c r="K55" s="16">
        <f t="shared" si="13"/>
        <v>0</v>
      </c>
      <c r="L55" s="15">
        <v>0</v>
      </c>
    </row>
    <row r="56" spans="1:15" ht="15.75" customHeight="1" x14ac:dyDescent="0.25">
      <c r="A56" s="13" t="s">
        <v>101</v>
      </c>
      <c r="B56" s="55">
        <f>SUM(B57:B59)</f>
        <v>0</v>
      </c>
      <c r="C56" s="52">
        <f>SUM(C57:C59)</f>
        <v>0</v>
      </c>
      <c r="D56" s="52">
        <f>SUM(D57:D59)</f>
        <v>0</v>
      </c>
      <c r="E56" s="19">
        <f t="shared" ref="E56" si="14">SUM(E57:E59)</f>
        <v>0</v>
      </c>
      <c r="F56" s="50">
        <v>0</v>
      </c>
      <c r="G56" s="54">
        <f t="shared" si="8"/>
        <v>0</v>
      </c>
      <c r="H56" s="19">
        <f>SUM(H57:H59)</f>
        <v>3471.94</v>
      </c>
      <c r="I56" s="19">
        <f t="shared" ref="I56:J56" si="15">SUM(I57:I59)</f>
        <v>0</v>
      </c>
      <c r="J56" s="19">
        <f t="shared" si="15"/>
        <v>0</v>
      </c>
      <c r="K56" s="19">
        <f>SUM(K57:K59)</f>
        <v>3471.94</v>
      </c>
      <c r="L56" s="50">
        <v>0</v>
      </c>
    </row>
    <row r="57" spans="1:15" ht="15.75" customHeight="1" x14ac:dyDescent="0.25">
      <c r="A57" s="17" t="s">
        <v>99</v>
      </c>
      <c r="B57" s="78">
        <v>0</v>
      </c>
      <c r="C57" s="51">
        <v>0</v>
      </c>
      <c r="D57" s="51">
        <v>0</v>
      </c>
      <c r="E57" s="14">
        <v>0</v>
      </c>
      <c r="F57" s="15">
        <v>0</v>
      </c>
      <c r="G57" s="53">
        <f t="shared" si="8"/>
        <v>0</v>
      </c>
      <c r="H57" s="16">
        <v>3471.94</v>
      </c>
      <c r="I57" s="16">
        <v>0</v>
      </c>
      <c r="J57" s="16">
        <v>0</v>
      </c>
      <c r="K57" s="16">
        <f>+H57+I57-J57</f>
        <v>3471.94</v>
      </c>
      <c r="L57" s="15">
        <v>0</v>
      </c>
    </row>
    <row r="58" spans="1:15" ht="15.75" customHeight="1" x14ac:dyDescent="0.25">
      <c r="A58" s="17" t="s">
        <v>23</v>
      </c>
      <c r="B58" s="78">
        <v>0</v>
      </c>
      <c r="C58" s="51">
        <v>0</v>
      </c>
      <c r="D58" s="51">
        <v>0</v>
      </c>
      <c r="E58" s="14">
        <v>0</v>
      </c>
      <c r="F58" s="15">
        <v>0</v>
      </c>
      <c r="G58" s="53">
        <f t="shared" si="8"/>
        <v>0</v>
      </c>
      <c r="H58" s="16">
        <v>0</v>
      </c>
      <c r="I58" s="16">
        <v>0</v>
      </c>
      <c r="J58" s="16">
        <v>0</v>
      </c>
      <c r="K58" s="16">
        <f t="shared" ref="K58:K59" si="16">+H58+I58-J58</f>
        <v>0</v>
      </c>
      <c r="L58" s="15">
        <v>0</v>
      </c>
    </row>
    <row r="59" spans="1:15" ht="15.75" customHeight="1" x14ac:dyDescent="0.25">
      <c r="A59" s="17" t="s">
        <v>96</v>
      </c>
      <c r="B59" s="78">
        <v>0</v>
      </c>
      <c r="C59" s="51">
        <v>0</v>
      </c>
      <c r="D59" s="51">
        <v>0</v>
      </c>
      <c r="E59" s="14">
        <v>0</v>
      </c>
      <c r="F59" s="15">
        <v>0</v>
      </c>
      <c r="G59" s="53">
        <f t="shared" si="8"/>
        <v>0</v>
      </c>
      <c r="H59" s="16">
        <v>0</v>
      </c>
      <c r="I59" s="16">
        <v>0</v>
      </c>
      <c r="J59" s="16">
        <v>0</v>
      </c>
      <c r="K59" s="16">
        <f t="shared" si="16"/>
        <v>0</v>
      </c>
      <c r="L59" s="15">
        <v>0</v>
      </c>
    </row>
    <row r="60" spans="1:15" ht="15.75" customHeight="1" x14ac:dyDescent="0.25">
      <c r="A60" s="18" t="s">
        <v>28</v>
      </c>
      <c r="B60" s="55">
        <f>B14+B21+B47+B53+B56</f>
        <v>164742025</v>
      </c>
      <c r="C60" s="55">
        <f>C14+C21+C33+C47+C53+C56</f>
        <v>201255746.74000001</v>
      </c>
      <c r="D60" s="55">
        <f>D14+D21+D33+D47+D53+D56</f>
        <v>9053.92</v>
      </c>
      <c r="E60" s="55">
        <f>E14+E21+E47+E53+E56</f>
        <v>185935290.12</v>
      </c>
      <c r="F60" s="50">
        <f>E60/C60</f>
        <v>0.92387568122567787</v>
      </c>
      <c r="G60" s="55">
        <f>G14+G21+G47+G53+G56</f>
        <v>15320456.619999997</v>
      </c>
      <c r="H60" s="55">
        <f>H14+H21+H33+H47+H53+H56</f>
        <v>18863199.959999997</v>
      </c>
      <c r="I60" s="19">
        <f t="shared" ref="I60" si="17">I14+I21+I47+I53+I56</f>
        <v>3744661.15</v>
      </c>
      <c r="J60" s="55">
        <f>J14+J21+J47+J53+J56</f>
        <v>6159279.4800000004</v>
      </c>
      <c r="K60" s="19">
        <f>K14+K21+K47+K53+K56</f>
        <v>16386451.98</v>
      </c>
      <c r="L60" s="15">
        <f>E60/B60</f>
        <v>1.1286451657978589</v>
      </c>
    </row>
    <row r="61" spans="1:15" ht="15.75" customHeight="1" x14ac:dyDescent="0.2">
      <c r="B61" s="80"/>
      <c r="C61" s="79">
        <f>'[1]AI MENSUAL'!$F$6+'[1]AI MENSUAL'!$G$6+'[1]AI MENSUAL'!$H$6+'[1]AI MENSUAL'!$I$6+'[1]AI MENSUAL'!$J$6+'[1]AI MENSUAL'!$K$6+'[1]AI MENSUAL'!$L$6+'[1]AI MENSUAL'!$M$6+'[1]AI MENSUAL'!$N$6</f>
        <v>201258424.39999998</v>
      </c>
      <c r="D61" s="79">
        <f>'[1]AI MENSUAL'!$F$145+'[1]AI MENSUAL'!$G$145+'[1]AI MENSUAL'!$H$145+'[1]AI MENSUAL'!$I$145+'[1]AI MENSUAL'!$J$145+'[1]AI MENSUAL'!$K$145+'[1]AI MENSUAL'!$L$145+'[1]AI MENSUAL'!$M$145+'[1]AI MENSUAL'!$N$145</f>
        <v>0</v>
      </c>
      <c r="E61" s="79">
        <v>185935290.12</v>
      </c>
      <c r="G61" s="79">
        <f>C60-E60</f>
        <v>15320456.620000005</v>
      </c>
      <c r="H61" s="79">
        <v>18863199.960000001</v>
      </c>
      <c r="I61" s="80">
        <f>H61-H60</f>
        <v>0</v>
      </c>
      <c r="J61" s="79">
        <f>[3]Hoja1!$B$9+432486.12+[3]Hoja1!$D$8+[3]Hoja1!$E$8+[3]Hoja1!$F$8+[3]Hoja1!$G$8+[3]Hoja1!$H$8+[3]Hoja1!$I$8+[3]Hoja1!$J$9</f>
        <v>6159279.4800000004</v>
      </c>
      <c r="K61" s="56"/>
    </row>
    <row r="62" spans="1:15" ht="15.75" customHeight="1" x14ac:dyDescent="0.2">
      <c r="C62" s="196" t="s">
        <v>29</v>
      </c>
      <c r="D62" s="196"/>
      <c r="E62" s="196"/>
      <c r="F62" s="196"/>
      <c r="G62" s="196"/>
      <c r="H62" s="196"/>
      <c r="I62" s="196"/>
    </row>
    <row r="63" spans="1:15" ht="15.75" customHeight="1" x14ac:dyDescent="0.2">
      <c r="C63" s="145">
        <v>201258424.40000001</v>
      </c>
      <c r="D63" s="145">
        <v>9053.92</v>
      </c>
      <c r="E63" s="145">
        <v>187448094.59</v>
      </c>
      <c r="F63" s="136"/>
      <c r="G63" s="146">
        <v>13810329.810000001</v>
      </c>
      <c r="H63" s="136"/>
      <c r="I63" s="136"/>
    </row>
    <row r="64" spans="1:15" ht="15.75" customHeight="1" x14ac:dyDescent="0.25">
      <c r="B64" s="197" t="s">
        <v>30</v>
      </c>
      <c r="C64" s="197"/>
      <c r="D64" s="198" t="s">
        <v>31</v>
      </c>
      <c r="E64" s="199"/>
      <c r="F64" s="200"/>
      <c r="G64" s="201" t="s">
        <v>32</v>
      </c>
      <c r="H64" s="201"/>
      <c r="I64" s="137" t="s">
        <v>8</v>
      </c>
      <c r="L64" s="1" t="s">
        <v>114</v>
      </c>
      <c r="M64" s="56">
        <f>C61-C60</f>
        <v>2677.6599999666214</v>
      </c>
      <c r="N64" s="56">
        <f>M64-D33</f>
        <v>2085.7399999666213</v>
      </c>
      <c r="O64" s="56">
        <f>N64-D21</f>
        <v>-3.3378910302417353E-8</v>
      </c>
    </row>
    <row r="65" spans="1:17" ht="15.75" customHeight="1" x14ac:dyDescent="0.25">
      <c r="B65" s="202" t="s">
        <v>33</v>
      </c>
      <c r="C65" s="202"/>
      <c r="D65" s="203"/>
      <c r="E65" s="204"/>
      <c r="F65" s="205"/>
      <c r="G65" s="206"/>
      <c r="H65" s="206"/>
      <c r="I65" s="23"/>
      <c r="M65" s="56">
        <f>E61-E60</f>
        <v>0</v>
      </c>
      <c r="N65" s="80"/>
      <c r="O65" s="80"/>
    </row>
    <row r="66" spans="1:17" ht="15.75" customHeight="1" x14ac:dyDescent="0.25">
      <c r="B66" s="207" t="s">
        <v>34</v>
      </c>
      <c r="C66" s="207"/>
      <c r="D66" s="203">
        <v>113000</v>
      </c>
      <c r="E66" s="204"/>
      <c r="F66" s="205"/>
      <c r="G66" s="206">
        <f>[3]Hoja1!$B$18+[3]Hoja1!$C$18+[3]Hoja1!$D$18+[3]Hoja1!$E$18+[3]Hoja1!$F$18+[3]Hoja1!$G$18+[3]Hoja1!$H$18+[3]Hoja1!$I$18+[3]Hoja1!$J$19</f>
        <v>60922</v>
      </c>
      <c r="H66" s="206"/>
      <c r="I66" s="23">
        <f t="shared" ref="I66:I72" si="18">G66/D66</f>
        <v>0.5391327433628319</v>
      </c>
    </row>
    <row r="67" spans="1:17" ht="15.75" customHeight="1" x14ac:dyDescent="0.25">
      <c r="B67" s="207" t="s">
        <v>35</v>
      </c>
      <c r="C67" s="207"/>
      <c r="D67" s="203">
        <v>12834042.720000001</v>
      </c>
      <c r="E67" s="204"/>
      <c r="F67" s="205"/>
      <c r="G67" s="206">
        <f>[3]Hoja1!$B$28+[3]Hoja1!$C$28+[3]Hoja1!$D$29+[3]Hoja1!$E$28+[3]Hoja1!$F$28+[3]Hoja1!$G$28+[3]Hoja1!$H$28+[3]Hoja1!$I$28+[3]Hoja1!$J$29</f>
        <v>7975295.1900000004</v>
      </c>
      <c r="H67" s="206"/>
      <c r="I67" s="23">
        <f t="shared" si="18"/>
        <v>0.62141722323953741</v>
      </c>
      <c r="M67" s="143"/>
      <c r="N67" s="80"/>
      <c r="O67" s="80"/>
      <c r="P67" s="144"/>
      <c r="Q67" s="80"/>
    </row>
    <row r="68" spans="1:17" ht="15.75" customHeight="1" x14ac:dyDescent="0.25">
      <c r="B68" s="207" t="s">
        <v>103</v>
      </c>
      <c r="C68" s="207"/>
      <c r="D68" s="203">
        <v>432670</v>
      </c>
      <c r="E68" s="204"/>
      <c r="F68" s="205"/>
      <c r="G68" s="206">
        <f>[3]Hoja1!$B$39+[3]Hoja1!$C$39+[3]Hoja1!$D$39+[3]Hoja1!$E$39+[3]Hoja1!$E$39+[3]Hoja1!$F$39+[3]Hoja1!$G$39+[3]Hoja1!$H$39+[3]Hoja1!$I$39+[3]Hoja1!$J$40</f>
        <v>1195554.31</v>
      </c>
      <c r="H68" s="206"/>
      <c r="I68" s="23">
        <f t="shared" si="18"/>
        <v>2.7632013081563316</v>
      </c>
      <c r="M68" s="56">
        <f>G63</f>
        <v>13810329.810000001</v>
      </c>
      <c r="N68" s="80">
        <f>G61</f>
        <v>15320456.620000005</v>
      </c>
      <c r="O68" s="80">
        <f>M68-N68</f>
        <v>-1510126.8100000042</v>
      </c>
      <c r="P68" s="56">
        <f>D21+D33</f>
        <v>2677.6600000000003</v>
      </c>
    </row>
    <row r="69" spans="1:17" ht="15.75" customHeight="1" x14ac:dyDescent="0.25">
      <c r="B69" s="207" t="s">
        <v>104</v>
      </c>
      <c r="C69" s="207"/>
      <c r="D69" s="203">
        <v>144000</v>
      </c>
      <c r="E69" s="204"/>
      <c r="F69" s="205"/>
      <c r="G69" s="206">
        <f>[3]Hoja1!$B$49+[3]Hoja1!$C$49+[3]Hoja1!$D$49+[3]Hoja1!$E$49+[3]Hoja1!$E$49+[3]Hoja1!$F$49+[3]Hoja1!$H$49+[3]Hoja1!$I$49+[3]Hoja1!$J$50</f>
        <v>92286.01</v>
      </c>
      <c r="H69" s="206"/>
      <c r="I69" s="23">
        <f t="shared" si="18"/>
        <v>0.64087506944444439</v>
      </c>
    </row>
    <row r="70" spans="1:17" ht="15.75" customHeight="1" x14ac:dyDescent="0.25">
      <c r="B70" s="207" t="s">
        <v>105</v>
      </c>
      <c r="C70" s="207"/>
      <c r="D70" s="203">
        <v>4620000</v>
      </c>
      <c r="E70" s="204"/>
      <c r="F70" s="205"/>
      <c r="G70" s="206">
        <f>[3]Hoja1!$B$59+[3]Hoja1!$C$60+[3]Hoja1!$D$59+[3]Hoja1!$E$59+[3]Hoja1!$F$59+[3]Hoja1!$G$59+[3]Hoja1!$H$59+[3]Hoja1!$I$59+[3]Hoja1!$J$60</f>
        <v>0</v>
      </c>
      <c r="H70" s="206"/>
      <c r="I70" s="23">
        <f t="shared" si="18"/>
        <v>0</v>
      </c>
    </row>
    <row r="71" spans="1:17" ht="15.75" customHeight="1" x14ac:dyDescent="0.25">
      <c r="B71" s="207" t="s">
        <v>106</v>
      </c>
      <c r="C71" s="207"/>
      <c r="D71" s="203">
        <v>1202890.56</v>
      </c>
      <c r="E71" s="204"/>
      <c r="F71" s="205"/>
      <c r="G71" s="206">
        <f>[3]Hoja1!$B$69+[3]Hoja1!$C$69+[3]Hoja1!$D$70+[3]Hoja1!$E$69+[3]Hoja1!$F$69+[3]Hoja1!$G$49+[3]Hoja1!$G$69+[3]Hoja1!$H$69+[3]Hoja1!$I$69+[3]Hoja1!$J$70</f>
        <v>34589.479999999996</v>
      </c>
      <c r="H71" s="206"/>
      <c r="I71" s="23">
        <f t="shared" si="18"/>
        <v>2.8755300897863888E-2</v>
      </c>
    </row>
    <row r="72" spans="1:17" ht="15.75" customHeight="1" x14ac:dyDescent="0.25">
      <c r="B72" s="207"/>
      <c r="C72" s="207"/>
      <c r="D72" s="203">
        <f>SUM(D66:F71)</f>
        <v>19346603.279999997</v>
      </c>
      <c r="E72" s="204"/>
      <c r="F72" s="205"/>
      <c r="G72" s="206">
        <f>SUM(G66:H71)</f>
        <v>9358646.9900000002</v>
      </c>
      <c r="H72" s="206"/>
      <c r="I72" s="23">
        <f t="shared" si="18"/>
        <v>0.4837359227640089</v>
      </c>
    </row>
    <row r="73" spans="1:17" ht="15.75" customHeight="1" x14ac:dyDescent="0.25">
      <c r="B73" s="24"/>
      <c r="C73" s="24"/>
      <c r="D73" s="24"/>
      <c r="E73" s="24"/>
      <c r="F73" s="24"/>
      <c r="G73" s="61"/>
      <c r="H73" s="25"/>
      <c r="I73" s="26"/>
    </row>
    <row r="74" spans="1:17" ht="15.75" customHeight="1" x14ac:dyDescent="0.2"/>
    <row r="75" spans="1:17" s="27" customFormat="1" ht="15.75" customHeight="1" x14ac:dyDescent="0.3">
      <c r="B75" s="208" t="s">
        <v>36</v>
      </c>
      <c r="C75" s="208"/>
      <c r="D75" s="138"/>
      <c r="G75" s="209" t="s">
        <v>37</v>
      </c>
      <c r="H75" s="209"/>
      <c r="J75" s="209" t="s">
        <v>38</v>
      </c>
      <c r="K75" s="209"/>
    </row>
    <row r="76" spans="1:17" s="27" customFormat="1" ht="15.75" customHeight="1" x14ac:dyDescent="0.3">
      <c r="B76" s="138"/>
      <c r="C76" s="138"/>
      <c r="D76" s="138"/>
      <c r="G76" s="62"/>
      <c r="H76" s="139"/>
      <c r="J76" s="139"/>
      <c r="K76" s="139"/>
    </row>
    <row r="77" spans="1:17" s="27" customFormat="1" ht="15.75" customHeight="1" x14ac:dyDescent="0.3">
      <c r="B77" s="212" t="s">
        <v>109</v>
      </c>
      <c r="C77" s="212"/>
      <c r="D77" s="141"/>
      <c r="E77" s="32"/>
      <c r="F77" s="213" t="s">
        <v>110</v>
      </c>
      <c r="G77" s="213"/>
      <c r="H77" s="213"/>
      <c r="I77" s="33"/>
      <c r="J77" s="213" t="s">
        <v>111</v>
      </c>
      <c r="K77" s="213"/>
    </row>
    <row r="78" spans="1:17" s="27" customFormat="1" ht="15.75" customHeight="1" x14ac:dyDescent="0.3">
      <c r="A78" s="30"/>
      <c r="B78" s="212" t="s">
        <v>89</v>
      </c>
      <c r="C78" s="212"/>
      <c r="D78" s="141"/>
      <c r="E78" s="32"/>
      <c r="F78" s="213" t="s">
        <v>108</v>
      </c>
      <c r="G78" s="213"/>
      <c r="H78" s="213"/>
      <c r="I78" s="33"/>
      <c r="J78" s="213" t="s">
        <v>112</v>
      </c>
      <c r="K78" s="213"/>
    </row>
    <row r="79" spans="1:17" s="27" customFormat="1" ht="15.75" customHeight="1" x14ac:dyDescent="0.3">
      <c r="A79" s="30"/>
      <c r="B79" s="214"/>
      <c r="C79" s="214"/>
      <c r="D79" s="142"/>
      <c r="G79" s="214"/>
      <c r="H79" s="214"/>
      <c r="J79" s="214"/>
      <c r="K79" s="214"/>
    </row>
    <row r="80" spans="1:17" ht="15.75" customHeight="1" x14ac:dyDescent="0.2">
      <c r="A80" s="8"/>
      <c r="B80" s="32"/>
      <c r="C80" s="32"/>
      <c r="D80" s="32"/>
      <c r="G80" s="63"/>
      <c r="H80" s="32"/>
      <c r="J80" s="32"/>
      <c r="K80" s="32"/>
    </row>
    <row r="81" spans="1:12" ht="15.75" customHeight="1" x14ac:dyDescent="0.2"/>
    <row r="82" spans="1:12" ht="15.75" customHeight="1" x14ac:dyDescent="0.2">
      <c r="A82" s="35" t="s">
        <v>39</v>
      </c>
    </row>
    <row r="83" spans="1:12" x14ac:dyDescent="0.2">
      <c r="A83" s="35"/>
    </row>
    <row r="84" spans="1:12" x14ac:dyDescent="0.2">
      <c r="A84" s="35"/>
    </row>
    <row r="85" spans="1:12" ht="15.75" customHeight="1" x14ac:dyDescent="0.2">
      <c r="A85" s="35"/>
    </row>
    <row r="86" spans="1:12" ht="15.75" customHeight="1" x14ac:dyDescent="0.25">
      <c r="A86" s="219" t="s">
        <v>0</v>
      </c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</row>
    <row r="87" spans="1:12" ht="15.75" customHeight="1" x14ac:dyDescent="0.2">
      <c r="B87" s="9"/>
      <c r="C87" s="9"/>
      <c r="D87" s="9"/>
      <c r="E87" s="9"/>
      <c r="F87" s="9"/>
      <c r="G87" s="59"/>
      <c r="H87" s="9"/>
    </row>
    <row r="88" spans="1:12" s="36" customFormat="1" ht="15.75" customHeight="1" x14ac:dyDescent="0.25">
      <c r="A88" s="189" t="s">
        <v>40</v>
      </c>
      <c r="B88" s="189"/>
      <c r="C88" s="189"/>
      <c r="D88" s="133"/>
      <c r="E88" s="189" t="s">
        <v>41</v>
      </c>
      <c r="F88" s="189"/>
      <c r="G88" s="189"/>
      <c r="H88" s="189"/>
      <c r="I88" s="189"/>
      <c r="J88" s="189"/>
      <c r="K88" s="189"/>
      <c r="L88" s="189"/>
    </row>
    <row r="89" spans="1:12" ht="15.75" customHeight="1" x14ac:dyDescent="0.2">
      <c r="A89" s="32"/>
      <c r="B89" s="32"/>
      <c r="C89" s="37"/>
      <c r="D89" s="37"/>
      <c r="F89" s="32"/>
      <c r="G89" s="63"/>
      <c r="H89" s="32"/>
    </row>
    <row r="90" spans="1:12" ht="15.75" customHeight="1" x14ac:dyDescent="0.2">
      <c r="A90" s="38" t="s">
        <v>42</v>
      </c>
      <c r="B90" s="39"/>
      <c r="C90" s="39"/>
      <c r="D90" s="39"/>
      <c r="E90" s="211" t="s">
        <v>43</v>
      </c>
      <c r="F90" s="211"/>
      <c r="G90" s="211"/>
      <c r="H90" s="211"/>
      <c r="I90" s="211"/>
      <c r="J90" s="40"/>
      <c r="K90" s="40"/>
      <c r="L90" s="40"/>
    </row>
    <row r="91" spans="1:12" ht="5.0999999999999996" customHeight="1" x14ac:dyDescent="0.2">
      <c r="A91" s="140"/>
      <c r="B91" s="140"/>
      <c r="C91" s="140"/>
      <c r="D91" s="140"/>
      <c r="E91" s="140"/>
      <c r="F91" s="42"/>
      <c r="G91" s="64"/>
      <c r="H91" s="40"/>
      <c r="I91" s="40"/>
      <c r="J91" s="40"/>
      <c r="K91" s="40"/>
      <c r="L91" s="40"/>
    </row>
    <row r="92" spans="1:12" ht="15.75" customHeight="1" x14ac:dyDescent="0.2">
      <c r="A92" s="210" t="s">
        <v>44</v>
      </c>
      <c r="B92" s="210"/>
      <c r="C92" s="39"/>
      <c r="D92" s="39"/>
      <c r="E92" s="211" t="s">
        <v>45</v>
      </c>
      <c r="F92" s="211"/>
      <c r="G92" s="211"/>
      <c r="H92" s="211"/>
      <c r="I92" s="211"/>
      <c r="J92" s="40"/>
      <c r="K92" s="40"/>
      <c r="L92" s="40"/>
    </row>
    <row r="93" spans="1:12" ht="5.0999999999999996" customHeight="1" x14ac:dyDescent="0.2">
      <c r="A93" s="43"/>
      <c r="B93" s="43"/>
      <c r="C93" s="40"/>
      <c r="D93" s="40"/>
      <c r="E93" s="40"/>
      <c r="F93" s="40"/>
      <c r="G93" s="48"/>
      <c r="H93" s="40"/>
      <c r="I93" s="40"/>
      <c r="J93" s="40"/>
      <c r="K93" s="40"/>
      <c r="L93" s="40"/>
    </row>
    <row r="94" spans="1:12" x14ac:dyDescent="0.2">
      <c r="A94" s="44" t="s">
        <v>46</v>
      </c>
      <c r="B94" s="43"/>
      <c r="C94" s="40"/>
      <c r="D94" s="40"/>
      <c r="E94" s="1" t="s">
        <v>47</v>
      </c>
      <c r="F94" s="40"/>
      <c r="G94" s="48"/>
      <c r="H94" s="40"/>
      <c r="I94" s="40"/>
      <c r="J94" s="40"/>
      <c r="K94" s="40"/>
      <c r="L94" s="40"/>
    </row>
    <row r="95" spans="1:12" ht="5.0999999999999996" customHeight="1" x14ac:dyDescent="0.2">
      <c r="A95" s="43"/>
      <c r="B95" s="43"/>
      <c r="C95" s="40"/>
      <c r="D95" s="40"/>
      <c r="E95" s="40"/>
      <c r="F95" s="40"/>
      <c r="G95" s="48"/>
      <c r="H95" s="40"/>
      <c r="I95" s="40"/>
      <c r="J95" s="40"/>
      <c r="K95" s="40"/>
      <c r="L95" s="40"/>
    </row>
    <row r="96" spans="1:12" ht="15.75" customHeight="1" x14ac:dyDescent="0.2">
      <c r="A96" s="43" t="s">
        <v>48</v>
      </c>
      <c r="B96" s="43"/>
      <c r="C96" s="40"/>
      <c r="D96" s="40"/>
      <c r="E96" s="40" t="s">
        <v>49</v>
      </c>
      <c r="F96" s="40"/>
      <c r="G96" s="48"/>
      <c r="H96" s="40"/>
      <c r="I96" s="40"/>
      <c r="J96" s="40"/>
      <c r="K96" s="40"/>
      <c r="L96" s="40"/>
    </row>
    <row r="97" spans="1:12" ht="5.0999999999999996" customHeight="1" x14ac:dyDescent="0.2">
      <c r="A97" s="43"/>
      <c r="B97" s="43"/>
      <c r="C97" s="40"/>
      <c r="D97" s="40"/>
      <c r="E97" s="40"/>
      <c r="F97" s="40"/>
      <c r="G97" s="48"/>
      <c r="H97" s="40"/>
      <c r="I97" s="40"/>
      <c r="J97" s="40"/>
      <c r="K97" s="40"/>
      <c r="L97" s="40"/>
    </row>
    <row r="98" spans="1:12" ht="33.75" customHeight="1" x14ac:dyDescent="0.2">
      <c r="A98" s="43" t="s">
        <v>50</v>
      </c>
      <c r="B98" s="43"/>
      <c r="C98" s="40"/>
      <c r="D98" s="40"/>
      <c r="E98" s="216" t="s">
        <v>51</v>
      </c>
      <c r="F98" s="216"/>
      <c r="G98" s="216"/>
      <c r="H98" s="216"/>
      <c r="I98" s="216"/>
      <c r="J98" s="216"/>
      <c r="K98" s="216"/>
      <c r="L98" s="216"/>
    </row>
    <row r="99" spans="1:12" ht="5.0999999999999996" customHeight="1" x14ac:dyDescent="0.2">
      <c r="A99" s="43"/>
      <c r="B99" s="43"/>
      <c r="C99" s="40"/>
      <c r="D99" s="40"/>
      <c r="E99" s="45"/>
      <c r="F99" s="40"/>
      <c r="G99" s="48"/>
      <c r="H99" s="40"/>
      <c r="I99" s="40"/>
      <c r="J99" s="40"/>
      <c r="K99" s="40"/>
      <c r="L99" s="40"/>
    </row>
    <row r="100" spans="1:12" ht="30" customHeight="1" x14ac:dyDescent="0.2">
      <c r="A100" s="43" t="s">
        <v>52</v>
      </c>
      <c r="B100" s="43"/>
      <c r="C100" s="40"/>
      <c r="D100" s="40"/>
      <c r="E100" s="217" t="s">
        <v>53</v>
      </c>
      <c r="F100" s="217"/>
      <c r="G100" s="217"/>
      <c r="H100" s="217"/>
      <c r="I100" s="217"/>
      <c r="J100" s="217"/>
      <c r="K100" s="217"/>
      <c r="L100" s="217"/>
    </row>
    <row r="101" spans="1:12" ht="5.0999999999999996" customHeight="1" x14ac:dyDescent="0.2">
      <c r="A101" s="43"/>
      <c r="B101" s="43"/>
      <c r="C101" s="40"/>
      <c r="D101" s="40"/>
      <c r="E101" s="45"/>
      <c r="F101" s="40"/>
      <c r="G101" s="48"/>
      <c r="H101" s="40"/>
      <c r="I101" s="40"/>
      <c r="J101" s="40"/>
      <c r="K101" s="40"/>
      <c r="L101" s="40"/>
    </row>
    <row r="102" spans="1:12" ht="45" customHeight="1" x14ac:dyDescent="0.2">
      <c r="A102" s="46" t="s">
        <v>54</v>
      </c>
      <c r="B102" s="46"/>
      <c r="C102" s="45"/>
      <c r="D102" s="45"/>
      <c r="E102" s="217" t="s">
        <v>55</v>
      </c>
      <c r="F102" s="217"/>
      <c r="G102" s="217"/>
      <c r="H102" s="217"/>
      <c r="I102" s="217"/>
      <c r="J102" s="217"/>
      <c r="K102" s="217"/>
      <c r="L102" s="217"/>
    </row>
    <row r="103" spans="1:12" ht="5.0999999999999996" customHeight="1" x14ac:dyDescent="0.2">
      <c r="A103" s="43"/>
      <c r="B103" s="43"/>
      <c r="C103" s="40"/>
      <c r="D103" s="40"/>
      <c r="E103" s="40"/>
      <c r="F103" s="40"/>
      <c r="G103" s="48"/>
      <c r="H103" s="40"/>
      <c r="I103" s="40"/>
      <c r="J103" s="40"/>
      <c r="K103" s="40"/>
      <c r="L103" s="40"/>
    </row>
    <row r="104" spans="1:12" ht="49.5" customHeight="1" x14ac:dyDescent="0.2">
      <c r="A104" s="43" t="s">
        <v>56</v>
      </c>
      <c r="B104" s="43"/>
      <c r="C104" s="40"/>
      <c r="D104" s="40"/>
      <c r="E104" s="216" t="s">
        <v>57</v>
      </c>
      <c r="F104" s="216"/>
      <c r="G104" s="216"/>
      <c r="H104" s="216"/>
      <c r="I104" s="216"/>
      <c r="J104" s="216"/>
      <c r="K104" s="216"/>
      <c r="L104" s="216"/>
    </row>
    <row r="105" spans="1:12" ht="5.0999999999999996" customHeight="1" x14ac:dyDescent="0.2">
      <c r="A105" s="43"/>
      <c r="B105" s="43"/>
      <c r="C105" s="40"/>
      <c r="D105" s="40"/>
      <c r="E105" s="40"/>
      <c r="F105" s="40"/>
      <c r="G105" s="48"/>
      <c r="H105" s="40"/>
      <c r="I105" s="40"/>
      <c r="J105" s="40"/>
      <c r="K105" s="40"/>
      <c r="L105" s="40"/>
    </row>
    <row r="106" spans="1:12" ht="49.5" customHeight="1" x14ac:dyDescent="0.2">
      <c r="A106" s="43" t="s">
        <v>58</v>
      </c>
      <c r="B106" s="43"/>
      <c r="C106" s="40"/>
      <c r="D106" s="40"/>
      <c r="E106" s="216" t="s">
        <v>59</v>
      </c>
      <c r="F106" s="216"/>
      <c r="G106" s="216"/>
      <c r="H106" s="216"/>
      <c r="I106" s="216"/>
      <c r="J106" s="216"/>
      <c r="K106" s="216"/>
      <c r="L106" s="216"/>
    </row>
    <row r="107" spans="1:12" ht="5.0999999999999996" customHeight="1" x14ac:dyDescent="0.2">
      <c r="A107" s="42"/>
      <c r="B107" s="42"/>
      <c r="C107" s="40"/>
      <c r="D107" s="40"/>
      <c r="E107" s="40"/>
      <c r="F107" s="40"/>
      <c r="G107" s="48"/>
      <c r="H107" s="40"/>
      <c r="I107" s="40"/>
      <c r="J107" s="40"/>
      <c r="K107" s="40"/>
      <c r="L107" s="40"/>
    </row>
    <row r="108" spans="1:12" ht="30.75" customHeight="1" x14ac:dyDescent="0.2">
      <c r="A108" s="43" t="s">
        <v>60</v>
      </c>
      <c r="B108" s="43"/>
      <c r="C108" s="40"/>
      <c r="D108" s="40"/>
      <c r="E108" s="216" t="s">
        <v>61</v>
      </c>
      <c r="F108" s="218"/>
      <c r="G108" s="218"/>
      <c r="H108" s="218"/>
      <c r="I108" s="218"/>
      <c r="J108" s="218"/>
      <c r="K108" s="218"/>
      <c r="L108" s="218"/>
    </row>
    <row r="109" spans="1:12" ht="5.0999999999999996" customHeight="1" x14ac:dyDescent="0.2">
      <c r="A109" s="43"/>
      <c r="B109" s="43"/>
      <c r="C109" s="40"/>
      <c r="D109" s="40"/>
      <c r="E109" s="40"/>
      <c r="F109" s="40"/>
      <c r="G109" s="48"/>
      <c r="H109" s="40"/>
      <c r="I109" s="40"/>
      <c r="J109" s="40"/>
      <c r="K109" s="40"/>
      <c r="L109" s="40"/>
    </row>
    <row r="110" spans="1:12" ht="15.75" customHeight="1" x14ac:dyDescent="0.2">
      <c r="A110" s="43" t="s">
        <v>62</v>
      </c>
      <c r="B110" s="43"/>
      <c r="C110" s="40"/>
      <c r="D110" s="40"/>
      <c r="E110" s="40" t="s">
        <v>63</v>
      </c>
      <c r="F110" s="40"/>
      <c r="G110" s="48"/>
      <c r="H110" s="40"/>
      <c r="I110" s="40"/>
      <c r="J110" s="40"/>
      <c r="K110" s="40"/>
      <c r="L110" s="40"/>
    </row>
    <row r="111" spans="1:12" ht="5.0999999999999996" customHeight="1" x14ac:dyDescent="0.2">
      <c r="A111" s="43"/>
      <c r="B111" s="43"/>
      <c r="C111" s="40"/>
      <c r="D111" s="40"/>
      <c r="E111" s="40"/>
      <c r="F111" s="40"/>
      <c r="G111" s="48"/>
      <c r="H111" s="40"/>
      <c r="I111" s="40"/>
      <c r="J111" s="40"/>
      <c r="K111" s="40"/>
      <c r="L111" s="40"/>
    </row>
    <row r="112" spans="1:12" x14ac:dyDescent="0.2">
      <c r="A112" s="43" t="s">
        <v>64</v>
      </c>
      <c r="B112" s="43"/>
      <c r="C112" s="40"/>
      <c r="D112" s="40"/>
      <c r="E112" s="40" t="s">
        <v>65</v>
      </c>
      <c r="F112" s="40"/>
      <c r="G112" s="48"/>
      <c r="H112" s="40"/>
      <c r="I112" s="40"/>
      <c r="J112" s="40"/>
      <c r="K112" s="40"/>
      <c r="L112" s="40"/>
    </row>
    <row r="113" spans="1:12" ht="5.0999999999999996" customHeight="1" x14ac:dyDescent="0.2">
      <c r="A113" s="43"/>
      <c r="B113" s="43"/>
      <c r="C113" s="40"/>
      <c r="D113" s="40"/>
      <c r="E113" s="40"/>
      <c r="F113" s="40"/>
      <c r="G113" s="48"/>
      <c r="H113" s="40"/>
      <c r="I113" s="40"/>
      <c r="J113" s="40"/>
      <c r="K113" s="40"/>
      <c r="L113" s="40"/>
    </row>
    <row r="114" spans="1:12" ht="15.75" customHeight="1" x14ac:dyDescent="0.2">
      <c r="A114" s="47" t="s">
        <v>66</v>
      </c>
      <c r="B114" s="43"/>
      <c r="C114" s="40"/>
      <c r="D114" s="40"/>
      <c r="E114" s="48" t="s">
        <v>67</v>
      </c>
      <c r="F114" s="40"/>
      <c r="G114" s="48"/>
      <c r="H114" s="40"/>
      <c r="I114" s="40"/>
      <c r="J114" s="40"/>
      <c r="K114" s="40"/>
      <c r="L114" s="40"/>
    </row>
    <row r="115" spans="1:12" ht="5.0999999999999996" customHeight="1" x14ac:dyDescent="0.2">
      <c r="A115" s="43"/>
      <c r="B115" s="43"/>
      <c r="C115" s="40"/>
      <c r="D115" s="40"/>
      <c r="E115" s="40"/>
      <c r="F115" s="40"/>
      <c r="G115" s="48"/>
      <c r="H115" s="40"/>
      <c r="I115" s="40"/>
      <c r="J115" s="40"/>
      <c r="K115" s="40"/>
      <c r="L115" s="40"/>
    </row>
    <row r="116" spans="1:12" ht="15.75" customHeight="1" x14ac:dyDescent="0.2">
      <c r="A116" s="43" t="s">
        <v>68</v>
      </c>
      <c r="B116" s="43"/>
      <c r="C116" s="40"/>
      <c r="D116" s="40"/>
      <c r="E116" s="40" t="s">
        <v>69</v>
      </c>
      <c r="F116" s="40"/>
      <c r="G116" s="48"/>
      <c r="H116" s="40"/>
      <c r="I116" s="40"/>
      <c r="J116" s="40"/>
      <c r="K116" s="40"/>
      <c r="L116" s="40"/>
    </row>
    <row r="117" spans="1:12" ht="5.0999999999999996" customHeight="1" x14ac:dyDescent="0.2">
      <c r="A117" s="43"/>
      <c r="B117" s="43"/>
      <c r="C117" s="40"/>
      <c r="D117" s="40"/>
      <c r="E117" s="40"/>
      <c r="F117" s="40"/>
      <c r="G117" s="48"/>
      <c r="H117" s="40"/>
      <c r="I117" s="40"/>
      <c r="J117" s="40"/>
      <c r="K117" s="40"/>
      <c r="L117" s="40"/>
    </row>
    <row r="118" spans="1:12" ht="15.75" customHeight="1" x14ac:dyDescent="0.2">
      <c r="A118" s="43" t="s">
        <v>70</v>
      </c>
      <c r="B118" s="43"/>
      <c r="C118" s="40"/>
      <c r="D118" s="40"/>
      <c r="E118" s="40" t="s">
        <v>71</v>
      </c>
      <c r="F118" s="40"/>
      <c r="G118" s="48"/>
      <c r="H118" s="40"/>
      <c r="I118" s="40"/>
      <c r="J118" s="40"/>
      <c r="K118" s="40"/>
      <c r="L118" s="40"/>
    </row>
    <row r="119" spans="1:12" ht="5.0999999999999996" customHeight="1" x14ac:dyDescent="0.2">
      <c r="A119" s="43"/>
      <c r="B119" s="43"/>
      <c r="C119" s="40"/>
      <c r="D119" s="40"/>
      <c r="E119" s="40"/>
      <c r="F119" s="40"/>
      <c r="G119" s="48"/>
      <c r="H119" s="40"/>
      <c r="I119" s="40"/>
      <c r="J119" s="40"/>
      <c r="K119" s="40"/>
      <c r="L119" s="40"/>
    </row>
    <row r="120" spans="1:12" ht="15.75" customHeight="1" x14ac:dyDescent="0.2">
      <c r="A120" s="47" t="s">
        <v>72</v>
      </c>
      <c r="B120" s="43"/>
      <c r="C120" s="40"/>
      <c r="D120" s="40"/>
      <c r="E120" s="48" t="s">
        <v>73</v>
      </c>
      <c r="F120" s="40"/>
      <c r="G120" s="48"/>
      <c r="H120" s="40"/>
      <c r="I120" s="40"/>
      <c r="J120" s="40"/>
      <c r="K120" s="40"/>
      <c r="L120" s="40"/>
    </row>
    <row r="121" spans="1:12" ht="5.0999999999999996" customHeight="1" x14ac:dyDescent="0.2">
      <c r="A121" s="43"/>
      <c r="B121" s="43"/>
      <c r="C121" s="40"/>
      <c r="D121" s="40"/>
      <c r="E121" s="40"/>
      <c r="F121" s="40"/>
      <c r="G121" s="48"/>
      <c r="H121" s="40"/>
      <c r="I121" s="40"/>
      <c r="J121" s="40"/>
      <c r="K121" s="40"/>
      <c r="L121" s="40"/>
    </row>
    <row r="122" spans="1:12" ht="37.5" customHeight="1" x14ac:dyDescent="0.2">
      <c r="A122" s="47" t="s">
        <v>74</v>
      </c>
      <c r="B122" s="43"/>
      <c r="C122" s="40"/>
      <c r="D122" s="40"/>
      <c r="E122" s="216" t="s">
        <v>75</v>
      </c>
      <c r="F122" s="218"/>
      <c r="G122" s="218"/>
      <c r="H122" s="218"/>
      <c r="I122" s="218"/>
      <c r="J122" s="218"/>
      <c r="K122" s="218"/>
      <c r="L122" s="218"/>
    </row>
    <row r="123" spans="1:12" ht="5.0999999999999996" customHeight="1" x14ac:dyDescent="0.2">
      <c r="A123" s="43"/>
      <c r="B123" s="43"/>
      <c r="C123" s="40"/>
      <c r="D123" s="40"/>
      <c r="E123" s="40"/>
      <c r="F123" s="40"/>
      <c r="G123" s="48"/>
      <c r="H123" s="40"/>
      <c r="I123" s="40"/>
      <c r="J123" s="40"/>
      <c r="K123" s="40"/>
      <c r="L123" s="40"/>
    </row>
    <row r="124" spans="1:12" ht="15.75" customHeight="1" x14ac:dyDescent="0.2">
      <c r="A124" s="43" t="s">
        <v>76</v>
      </c>
      <c r="B124" s="43"/>
      <c r="C124" s="40"/>
      <c r="D124" s="40"/>
      <c r="E124" s="40" t="s">
        <v>77</v>
      </c>
      <c r="F124" s="40"/>
      <c r="G124" s="48"/>
      <c r="H124" s="40"/>
      <c r="I124" s="40"/>
      <c r="J124" s="40"/>
      <c r="K124" s="40"/>
      <c r="L124" s="40"/>
    </row>
    <row r="125" spans="1:12" ht="5.0999999999999996" customHeight="1" x14ac:dyDescent="0.2">
      <c r="A125" s="43"/>
      <c r="B125" s="43"/>
      <c r="C125" s="40"/>
      <c r="D125" s="40"/>
      <c r="E125" s="40"/>
      <c r="F125" s="40"/>
      <c r="G125" s="48"/>
      <c r="H125" s="40"/>
      <c r="I125" s="40"/>
      <c r="J125" s="40"/>
      <c r="K125" s="40"/>
      <c r="L125" s="40"/>
    </row>
    <row r="126" spans="1:12" ht="15.75" customHeight="1" x14ac:dyDescent="0.2">
      <c r="A126" s="43" t="s">
        <v>78</v>
      </c>
      <c r="B126" s="43"/>
      <c r="C126" s="40"/>
      <c r="D126" s="40"/>
      <c r="E126" s="40" t="s">
        <v>79</v>
      </c>
      <c r="F126" s="40"/>
      <c r="G126" s="48"/>
      <c r="H126" s="40"/>
      <c r="I126" s="40"/>
      <c r="J126" s="40"/>
      <c r="K126" s="40"/>
      <c r="L126" s="40"/>
    </row>
    <row r="127" spans="1:12" ht="5.0999999999999996" customHeight="1" x14ac:dyDescent="0.2">
      <c r="A127" s="43"/>
      <c r="B127" s="43"/>
      <c r="C127" s="40"/>
      <c r="D127" s="40"/>
      <c r="E127" s="40"/>
      <c r="F127" s="40"/>
      <c r="G127" s="48"/>
      <c r="H127" s="40"/>
      <c r="I127" s="40"/>
      <c r="J127" s="40"/>
      <c r="K127" s="40"/>
      <c r="L127" s="40"/>
    </row>
    <row r="128" spans="1:12" ht="15.75" customHeight="1" x14ac:dyDescent="0.2">
      <c r="A128" s="43" t="s">
        <v>80</v>
      </c>
      <c r="B128" s="43"/>
      <c r="C128" s="40"/>
      <c r="D128" s="40"/>
      <c r="E128" s="40" t="s">
        <v>81</v>
      </c>
      <c r="F128" s="40"/>
      <c r="G128" s="48"/>
      <c r="H128" s="40"/>
      <c r="I128" s="40"/>
      <c r="J128" s="40"/>
      <c r="K128" s="40"/>
      <c r="L128" s="40"/>
    </row>
    <row r="129" spans="1:20" ht="5.0999999999999996" customHeight="1" x14ac:dyDescent="0.2">
      <c r="A129" s="43"/>
      <c r="B129" s="43"/>
      <c r="C129" s="40"/>
      <c r="D129" s="40"/>
      <c r="E129" s="40"/>
      <c r="F129" s="40"/>
      <c r="G129" s="48"/>
      <c r="H129" s="40"/>
      <c r="I129" s="40"/>
      <c r="J129" s="40"/>
      <c r="K129" s="40"/>
      <c r="L129" s="40"/>
    </row>
    <row r="130" spans="1:20" ht="15.75" customHeight="1" x14ac:dyDescent="0.2">
      <c r="A130" s="43"/>
      <c r="B130" s="43"/>
      <c r="C130" s="40"/>
      <c r="D130" s="40"/>
      <c r="E130" s="40" t="s">
        <v>82</v>
      </c>
      <c r="F130" s="40"/>
      <c r="G130" s="48"/>
      <c r="H130" s="40"/>
      <c r="I130" s="40"/>
      <c r="J130" s="40"/>
      <c r="K130" s="40"/>
      <c r="L130" s="40"/>
    </row>
    <row r="131" spans="1:20" ht="5.0999999999999996" customHeight="1" x14ac:dyDescent="0.2">
      <c r="A131" s="43"/>
      <c r="B131" s="43"/>
      <c r="C131" s="40"/>
      <c r="D131" s="40"/>
      <c r="E131" s="40"/>
      <c r="F131" s="40"/>
      <c r="G131" s="48"/>
      <c r="H131" s="40"/>
      <c r="I131" s="40"/>
      <c r="J131" s="40"/>
      <c r="K131" s="40"/>
      <c r="L131" s="40"/>
    </row>
    <row r="132" spans="1:20" ht="15.75" customHeight="1" x14ac:dyDescent="0.2">
      <c r="A132" s="46" t="s">
        <v>14</v>
      </c>
      <c r="B132" s="43"/>
      <c r="C132" s="40"/>
      <c r="D132" s="40"/>
      <c r="E132" s="40" t="s">
        <v>83</v>
      </c>
      <c r="F132" s="40"/>
      <c r="G132" s="48"/>
      <c r="H132" s="40"/>
      <c r="I132" s="40"/>
      <c r="J132" s="40"/>
      <c r="K132" s="40"/>
      <c r="L132" s="40"/>
    </row>
    <row r="133" spans="1:20" x14ac:dyDescent="0.2">
      <c r="A133" s="40"/>
      <c r="B133" s="40"/>
      <c r="C133" s="40"/>
      <c r="D133" s="40"/>
      <c r="E133" s="40"/>
      <c r="F133" s="40"/>
      <c r="G133" s="48"/>
      <c r="H133" s="40"/>
      <c r="I133" s="40"/>
      <c r="J133" s="40"/>
      <c r="K133" s="40"/>
      <c r="L133" s="40"/>
    </row>
    <row r="134" spans="1:20" x14ac:dyDescent="0.2">
      <c r="A134" s="44" t="s">
        <v>36</v>
      </c>
      <c r="B134" s="40"/>
      <c r="C134" s="40"/>
      <c r="D134" s="40"/>
      <c r="E134" s="215" t="s">
        <v>84</v>
      </c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  <c r="P134" s="215"/>
      <c r="Q134" s="215"/>
      <c r="R134" s="215"/>
      <c r="S134" s="215"/>
      <c r="T134" s="215"/>
    </row>
    <row r="135" spans="1:20" x14ac:dyDescent="0.2">
      <c r="A135" s="44"/>
      <c r="B135" s="40"/>
      <c r="C135" s="40"/>
      <c r="D135" s="40"/>
      <c r="E135" s="21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  <c r="P135" s="215"/>
      <c r="Q135" s="215"/>
      <c r="R135" s="215"/>
      <c r="S135" s="215"/>
      <c r="T135" s="215"/>
    </row>
    <row r="136" spans="1:20" x14ac:dyDescent="0.2">
      <c r="A136" s="44" t="s">
        <v>85</v>
      </c>
      <c r="B136" s="37"/>
      <c r="C136" s="37"/>
      <c r="D136" s="37"/>
      <c r="E136" s="215" t="s">
        <v>86</v>
      </c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  <c r="P136" s="215"/>
      <c r="Q136" s="215"/>
      <c r="R136" s="215"/>
      <c r="S136" s="215"/>
      <c r="T136" s="215"/>
    </row>
    <row r="137" spans="1:20" x14ac:dyDescent="0.2">
      <c r="A137" s="49"/>
      <c r="B137" s="37"/>
      <c r="C137" s="37"/>
      <c r="D137" s="37"/>
      <c r="E137" s="49"/>
      <c r="F137" s="49"/>
      <c r="G137" s="65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</row>
    <row r="138" spans="1:20" x14ac:dyDescent="0.2">
      <c r="A138" s="44" t="s">
        <v>38</v>
      </c>
      <c r="B138" s="37"/>
      <c r="C138" s="37"/>
      <c r="D138" s="37"/>
      <c r="E138" s="49" t="s">
        <v>87</v>
      </c>
      <c r="F138" s="49"/>
      <c r="G138" s="65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</row>
    <row r="139" spans="1:20" x14ac:dyDescent="0.2">
      <c r="A139" s="37"/>
      <c r="B139" s="37"/>
      <c r="C139" s="37"/>
      <c r="D139" s="37"/>
      <c r="E139" s="37"/>
      <c r="F139" s="37"/>
      <c r="G139" s="66"/>
      <c r="H139" s="37"/>
      <c r="I139" s="37"/>
      <c r="J139" s="37"/>
      <c r="K139" s="37"/>
      <c r="L139" s="37"/>
    </row>
    <row r="140" spans="1:20" x14ac:dyDescent="0.2">
      <c r="A140" s="37"/>
      <c r="B140" s="37"/>
      <c r="C140" s="37"/>
      <c r="D140" s="37"/>
      <c r="E140" s="37"/>
      <c r="F140" s="37"/>
      <c r="G140" s="66"/>
      <c r="H140" s="37"/>
      <c r="I140" s="37"/>
      <c r="J140" s="37"/>
      <c r="K140" s="37"/>
      <c r="L140" s="37"/>
    </row>
    <row r="141" spans="1:20" x14ac:dyDescent="0.2">
      <c r="A141" s="37"/>
      <c r="B141" s="37"/>
      <c r="C141" s="37"/>
      <c r="D141" s="37"/>
      <c r="E141" s="37"/>
      <c r="F141" s="37"/>
      <c r="G141" s="66"/>
      <c r="H141" s="37"/>
      <c r="I141" s="37"/>
      <c r="J141" s="37"/>
      <c r="K141" s="37"/>
      <c r="L141" s="37"/>
    </row>
    <row r="142" spans="1:20" x14ac:dyDescent="0.2">
      <c r="A142" s="37"/>
      <c r="B142" s="37"/>
      <c r="C142" s="37"/>
      <c r="D142" s="37"/>
      <c r="E142" s="37"/>
      <c r="F142" s="37"/>
      <c r="G142" s="66"/>
      <c r="H142" s="37"/>
      <c r="I142" s="37"/>
      <c r="J142" s="37"/>
      <c r="K142" s="37"/>
      <c r="L142" s="37"/>
    </row>
    <row r="143" spans="1:20" x14ac:dyDescent="0.2">
      <c r="A143" s="37"/>
      <c r="B143" s="37"/>
      <c r="C143" s="37"/>
      <c r="D143" s="37"/>
      <c r="E143" s="37"/>
      <c r="F143" s="37"/>
      <c r="G143" s="66"/>
      <c r="H143" s="37"/>
      <c r="I143" s="37"/>
      <c r="J143" s="37"/>
      <c r="K143" s="37"/>
      <c r="L143" s="37"/>
    </row>
    <row r="144" spans="1:20" x14ac:dyDescent="0.2">
      <c r="A144" s="37"/>
      <c r="B144" s="37"/>
      <c r="C144" s="37"/>
      <c r="D144" s="37"/>
      <c r="E144" s="37"/>
      <c r="F144" s="37"/>
      <c r="G144" s="66"/>
      <c r="H144" s="37"/>
      <c r="I144" s="37"/>
      <c r="J144" s="37"/>
      <c r="K144" s="37"/>
      <c r="L144" s="37"/>
    </row>
    <row r="145" spans="1:12" x14ac:dyDescent="0.2">
      <c r="A145" s="37"/>
      <c r="B145" s="37"/>
      <c r="C145" s="37"/>
      <c r="D145" s="37"/>
      <c r="E145" s="37"/>
      <c r="F145" s="37"/>
      <c r="G145" s="66"/>
      <c r="H145" s="37"/>
      <c r="I145" s="37"/>
      <c r="J145" s="37"/>
      <c r="K145" s="37"/>
      <c r="L145" s="37"/>
    </row>
    <row r="146" spans="1:12" x14ac:dyDescent="0.2">
      <c r="A146" s="37"/>
      <c r="B146" s="37"/>
      <c r="C146" s="37"/>
      <c r="D146" s="37"/>
      <c r="E146" s="37"/>
      <c r="F146" s="37"/>
      <c r="G146" s="66"/>
      <c r="H146" s="37"/>
      <c r="I146" s="37"/>
      <c r="J146" s="37"/>
      <c r="K146" s="37"/>
      <c r="L146" s="37"/>
    </row>
  </sheetData>
  <mergeCells count="72">
    <mergeCell ref="K12:K13"/>
    <mergeCell ref="A3:L3"/>
    <mergeCell ref="A5:L5"/>
    <mergeCell ref="A7:L7"/>
    <mergeCell ref="C11:G11"/>
    <mergeCell ref="H11:K11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C62:I62"/>
    <mergeCell ref="B64:C64"/>
    <mergeCell ref="D64:F64"/>
    <mergeCell ref="G64:H64"/>
    <mergeCell ref="B65:C65"/>
    <mergeCell ref="D65:F65"/>
    <mergeCell ref="G65:H65"/>
    <mergeCell ref="B66:C66"/>
    <mergeCell ref="D66:F66"/>
    <mergeCell ref="G66:H66"/>
    <mergeCell ref="B67:C67"/>
    <mergeCell ref="D67:F67"/>
    <mergeCell ref="G67:H67"/>
    <mergeCell ref="B68:C68"/>
    <mergeCell ref="D68:F68"/>
    <mergeCell ref="G68:H68"/>
    <mergeCell ref="B69:C69"/>
    <mergeCell ref="D69:F69"/>
    <mergeCell ref="G69:H69"/>
    <mergeCell ref="J75:K75"/>
    <mergeCell ref="B70:C70"/>
    <mergeCell ref="D70:F70"/>
    <mergeCell ref="G70:H70"/>
    <mergeCell ref="B71:C71"/>
    <mergeCell ref="D71:F71"/>
    <mergeCell ref="G71:H71"/>
    <mergeCell ref="B72:C72"/>
    <mergeCell ref="D72:F72"/>
    <mergeCell ref="G72:H72"/>
    <mergeCell ref="B75:C75"/>
    <mergeCell ref="G75:H75"/>
    <mergeCell ref="B77:C77"/>
    <mergeCell ref="F77:H77"/>
    <mergeCell ref="J77:K77"/>
    <mergeCell ref="B78:C78"/>
    <mergeCell ref="F78:H78"/>
    <mergeCell ref="J78:K78"/>
    <mergeCell ref="E102:L102"/>
    <mergeCell ref="B79:C79"/>
    <mergeCell ref="G79:H79"/>
    <mergeCell ref="J79:K79"/>
    <mergeCell ref="A86:L86"/>
    <mergeCell ref="A88:C88"/>
    <mergeCell ref="E88:L88"/>
    <mergeCell ref="E90:I90"/>
    <mergeCell ref="A92:B92"/>
    <mergeCell ref="E92:I92"/>
    <mergeCell ref="E98:L98"/>
    <mergeCell ref="E100:L100"/>
    <mergeCell ref="E136:T136"/>
    <mergeCell ref="E104:L104"/>
    <mergeCell ref="E106:L106"/>
    <mergeCell ref="E108:L108"/>
    <mergeCell ref="E122:L122"/>
    <mergeCell ref="E134:T134"/>
    <mergeCell ref="E135:T135"/>
  </mergeCells>
  <pageMargins left="0.51" right="0.46" top="0.39370078740157483" bottom="0.43307086614173229" header="0" footer="0"/>
  <pageSetup paperSize="5" scale="62" fitToHeight="0" orientation="landscape" r:id="rId1"/>
  <headerFooter alignWithMargins="0">
    <oddFooter>&amp;R</oddFooter>
  </headerFooter>
  <rowBreaks count="1" manualBreakCount="1">
    <brk id="8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2</vt:i4>
      </vt:variant>
    </vt:vector>
  </HeadingPairs>
  <TitlesOfParts>
    <vt:vector size="14" baseType="lpstr">
      <vt:lpstr>FR-01 ENERO</vt:lpstr>
      <vt:lpstr>FR-01 FEBRERO</vt:lpstr>
      <vt:lpstr>FR-01 MARZO</vt:lpstr>
      <vt:lpstr>FR-01 ABRIL</vt:lpstr>
      <vt:lpstr>FR-01 MAYO</vt:lpstr>
      <vt:lpstr>FR-01 JUNIO</vt:lpstr>
      <vt:lpstr>FR-01 JULIO</vt:lpstr>
      <vt:lpstr>FR-01 AGOSTO</vt:lpstr>
      <vt:lpstr>FR-01 SEPTIEMBRE</vt:lpstr>
      <vt:lpstr>FR-01 OCTUBRE</vt:lpstr>
      <vt:lpstr>FR-01 NOVIEMBRE</vt:lpstr>
      <vt:lpstr>FR-01 DICIEMBRE</vt:lpstr>
      <vt:lpstr>'FR-01 DICIEMBRE'!Área_de_impresión</vt:lpstr>
      <vt:lpstr>'FR-01 NOVIEMBRE'!Área_de_impresión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MUNICIPAL</dc:creator>
  <cp:lastModifiedBy>TESORERIA MUNICIPAL</cp:lastModifiedBy>
  <cp:lastPrinted>2021-01-11T21:10:32Z</cp:lastPrinted>
  <dcterms:created xsi:type="dcterms:W3CDTF">2019-04-08T18:43:50Z</dcterms:created>
  <dcterms:modified xsi:type="dcterms:W3CDTF">2021-01-11T21:12:03Z</dcterms:modified>
</cp:coreProperties>
</file>